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ORGANICA DEL PRESUPUESTO DECRETO 101-97 2017\ART.17 TER B\"/>
    </mc:Choice>
  </mc:AlternateContent>
  <xr:revisionPtr revIDLastSave="0" documentId="8_{930CB45B-D7CC-4BBA-8819-5DBF3E54F922}" xr6:coauthVersionLast="47" xr6:coauthVersionMax="47" xr10:uidLastSave="{00000000-0000-0000-0000-000000000000}"/>
  <bookViews>
    <workbookView xWindow="-120" yWindow="-120" windowWidth="29040" windowHeight="15720" xr2:uid="{52FB0406-D77C-4F00-87B1-A79ABC846CC5}"/>
  </bookViews>
  <sheets>
    <sheet name="REPROGRAMACIÓN" sheetId="2" r:id="rId1"/>
  </sheets>
  <definedNames>
    <definedName name="_xlnm._FilterDatabase" localSheetId="0" hidden="1">REPROGRAMACIÓN!$A$9:$R$187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88" i="2" l="1"/>
  <c r="E183" i="2"/>
  <c r="E179" i="2"/>
  <c r="E173" i="2"/>
  <c r="E169" i="2"/>
  <c r="E165" i="2"/>
  <c r="E160" i="2"/>
  <c r="E156" i="2"/>
  <c r="E151" i="2"/>
  <c r="E146" i="2"/>
  <c r="E141" i="2"/>
  <c r="E136" i="2"/>
  <c r="E131" i="2"/>
  <c r="E126" i="2"/>
  <c r="E121" i="2"/>
  <c r="E116" i="2"/>
  <c r="E111" i="2"/>
  <c r="E106" i="2"/>
  <c r="E101" i="2"/>
  <c r="E95" i="2"/>
  <c r="E90" i="2"/>
  <c r="E84" i="2"/>
  <c r="E76" i="2"/>
  <c r="E69" i="2"/>
  <c r="E64" i="2"/>
  <c r="E55" i="2"/>
  <c r="E50" i="2"/>
  <c r="E44" i="2"/>
  <c r="E39" i="2"/>
  <c r="E30" i="2"/>
  <c r="E33" i="2"/>
  <c r="E29" i="2" s="1"/>
  <c r="E28" i="2"/>
  <c r="E21" i="2"/>
  <c r="P12" i="2"/>
  <c r="Q12" i="2"/>
  <c r="O187" i="2" l="1"/>
  <c r="N187" i="2"/>
  <c r="M187" i="2"/>
  <c r="L187" i="2"/>
  <c r="K187" i="2"/>
  <c r="J187" i="2"/>
  <c r="I187" i="2"/>
  <c r="H187" i="2"/>
  <c r="Q186" i="2"/>
  <c r="P186" i="2"/>
  <c r="O186" i="2"/>
  <c r="N186" i="2"/>
  <c r="M186" i="2"/>
  <c r="L186" i="2"/>
  <c r="K186" i="2"/>
  <c r="J186" i="2"/>
  <c r="I186" i="2"/>
  <c r="H186" i="2"/>
  <c r="C185" i="2"/>
  <c r="N182" i="2"/>
  <c r="M182" i="2"/>
  <c r="L182" i="2"/>
  <c r="K182" i="2"/>
  <c r="J182" i="2"/>
  <c r="I182" i="2"/>
  <c r="H182" i="2"/>
  <c r="C181" i="2"/>
  <c r="J178" i="2"/>
  <c r="I178" i="2"/>
  <c r="H178" i="2"/>
  <c r="Q177" i="2"/>
  <c r="P177" i="2"/>
  <c r="O177" i="2"/>
  <c r="N177" i="2"/>
  <c r="M177" i="2"/>
  <c r="L177" i="2"/>
  <c r="K177" i="2"/>
  <c r="J177" i="2"/>
  <c r="I177" i="2"/>
  <c r="H177" i="2"/>
  <c r="C176" i="2"/>
  <c r="P172" i="2"/>
  <c r="O172" i="2"/>
  <c r="N172" i="2"/>
  <c r="M172" i="2"/>
  <c r="L172" i="2"/>
  <c r="K172" i="2"/>
  <c r="J172" i="2"/>
  <c r="I172" i="2"/>
  <c r="H172" i="2"/>
  <c r="C171" i="2"/>
  <c r="P168" i="2"/>
  <c r="O168" i="2"/>
  <c r="N168" i="2"/>
  <c r="M168" i="2"/>
  <c r="L168" i="2"/>
  <c r="K168" i="2"/>
  <c r="J168" i="2"/>
  <c r="I168" i="2"/>
  <c r="H168" i="2"/>
  <c r="C167" i="2"/>
  <c r="O164" i="2"/>
  <c r="N164" i="2"/>
  <c r="M164" i="2"/>
  <c r="L164" i="2"/>
  <c r="K164" i="2"/>
  <c r="J164" i="2"/>
  <c r="I164" i="2"/>
  <c r="H164" i="2"/>
  <c r="Q163" i="2"/>
  <c r="P163" i="2"/>
  <c r="O163" i="2"/>
  <c r="N163" i="2"/>
  <c r="M163" i="2"/>
  <c r="L163" i="2"/>
  <c r="K163" i="2"/>
  <c r="J163" i="2"/>
  <c r="I163" i="2"/>
  <c r="H163" i="2"/>
  <c r="C162" i="2"/>
  <c r="N159" i="2"/>
  <c r="M159" i="2"/>
  <c r="L159" i="2"/>
  <c r="K159" i="2"/>
  <c r="J159" i="2"/>
  <c r="I159" i="2"/>
  <c r="H159" i="2"/>
  <c r="C158" i="2"/>
  <c r="J155" i="2"/>
  <c r="I155" i="2"/>
  <c r="Q154" i="2"/>
  <c r="P154" i="2"/>
  <c r="O154" i="2"/>
  <c r="N154" i="2"/>
  <c r="M154" i="2"/>
  <c r="L154" i="2"/>
  <c r="K154" i="2"/>
  <c r="J154" i="2"/>
  <c r="I154" i="2"/>
  <c r="H154" i="2"/>
  <c r="C153" i="2"/>
  <c r="P150" i="2"/>
  <c r="O150" i="2"/>
  <c r="N150" i="2"/>
  <c r="M150" i="2"/>
  <c r="L150" i="2"/>
  <c r="K150" i="2"/>
  <c r="J150" i="2"/>
  <c r="I150" i="2"/>
  <c r="H150" i="2"/>
  <c r="C149" i="2"/>
  <c r="P145" i="2"/>
  <c r="O145" i="2"/>
  <c r="N145" i="2"/>
  <c r="M145" i="2"/>
  <c r="L145" i="2"/>
  <c r="K145" i="2"/>
  <c r="J145" i="2"/>
  <c r="I145" i="2"/>
  <c r="H145" i="2"/>
  <c r="Q144" i="2"/>
  <c r="P144" i="2"/>
  <c r="O144" i="2"/>
  <c r="N144" i="2"/>
  <c r="M144" i="2"/>
  <c r="L144" i="2"/>
  <c r="K144" i="2"/>
  <c r="J144" i="2"/>
  <c r="I144" i="2"/>
  <c r="H144" i="2"/>
  <c r="C143" i="2"/>
  <c r="P140" i="2"/>
  <c r="O140" i="2"/>
  <c r="N140" i="2"/>
  <c r="M140" i="2"/>
  <c r="L140" i="2"/>
  <c r="K140" i="2"/>
  <c r="J140" i="2"/>
  <c r="I140" i="2"/>
  <c r="H140" i="2"/>
  <c r="Q139" i="2"/>
  <c r="P139" i="2"/>
  <c r="O139" i="2"/>
  <c r="N139" i="2"/>
  <c r="M139" i="2"/>
  <c r="L139" i="2"/>
  <c r="K139" i="2"/>
  <c r="J139" i="2"/>
  <c r="I139" i="2"/>
  <c r="H139" i="2"/>
  <c r="C138" i="2"/>
  <c r="J135" i="2"/>
  <c r="I135" i="2"/>
  <c r="H135" i="2"/>
  <c r="Q134" i="2"/>
  <c r="P134" i="2"/>
  <c r="O134" i="2"/>
  <c r="N134" i="2"/>
  <c r="M134" i="2"/>
  <c r="L134" i="2"/>
  <c r="K134" i="2"/>
  <c r="J134" i="2"/>
  <c r="I134" i="2"/>
  <c r="H134" i="2"/>
  <c r="C133" i="2"/>
  <c r="P130" i="2"/>
  <c r="O130" i="2"/>
  <c r="N130" i="2"/>
  <c r="M130" i="2"/>
  <c r="L130" i="2"/>
  <c r="K130" i="2"/>
  <c r="J130" i="2"/>
  <c r="I130" i="2"/>
  <c r="H130" i="2"/>
  <c r="Q129" i="2"/>
  <c r="P129" i="2"/>
  <c r="O129" i="2"/>
  <c r="N129" i="2"/>
  <c r="M129" i="2"/>
  <c r="L129" i="2"/>
  <c r="K129" i="2"/>
  <c r="J129" i="2"/>
  <c r="I129" i="2"/>
  <c r="H129" i="2"/>
  <c r="C128" i="2"/>
  <c r="N125" i="2"/>
  <c r="M125" i="2"/>
  <c r="L125" i="2"/>
  <c r="K125" i="2"/>
  <c r="J125" i="2"/>
  <c r="I125" i="2"/>
  <c r="H125" i="2"/>
  <c r="Q124" i="2"/>
  <c r="P124" i="2"/>
  <c r="O124" i="2"/>
  <c r="N124" i="2"/>
  <c r="M124" i="2"/>
  <c r="L124" i="2"/>
  <c r="K124" i="2"/>
  <c r="J124" i="2"/>
  <c r="I124" i="2"/>
  <c r="H124" i="2"/>
  <c r="C123" i="2"/>
  <c r="O120" i="2"/>
  <c r="N120" i="2"/>
  <c r="M120" i="2"/>
  <c r="L120" i="2"/>
  <c r="K120" i="2"/>
  <c r="J120" i="2"/>
  <c r="I120" i="2"/>
  <c r="H120" i="2"/>
  <c r="Q119" i="2"/>
  <c r="P119" i="2"/>
  <c r="O119" i="2"/>
  <c r="N119" i="2"/>
  <c r="M119" i="2"/>
  <c r="L119" i="2"/>
  <c r="K119" i="2"/>
  <c r="J119" i="2"/>
  <c r="I119" i="2"/>
  <c r="H119" i="2"/>
  <c r="C118" i="2"/>
  <c r="P115" i="2"/>
  <c r="O115" i="2"/>
  <c r="N115" i="2"/>
  <c r="M115" i="2"/>
  <c r="L115" i="2"/>
  <c r="K115" i="2"/>
  <c r="J115" i="2"/>
  <c r="I115" i="2"/>
  <c r="H115" i="2"/>
  <c r="Q114" i="2"/>
  <c r="P114" i="2"/>
  <c r="O114" i="2"/>
  <c r="N114" i="2"/>
  <c r="M114" i="2"/>
  <c r="L114" i="2"/>
  <c r="K114" i="2"/>
  <c r="J114" i="2"/>
  <c r="I114" i="2"/>
  <c r="H114" i="2"/>
  <c r="C113" i="2"/>
  <c r="O110" i="2"/>
  <c r="N110" i="2"/>
  <c r="M110" i="2"/>
  <c r="L110" i="2"/>
  <c r="K110" i="2"/>
  <c r="J110" i="2"/>
  <c r="I110" i="2"/>
  <c r="H110" i="2"/>
  <c r="Q109" i="2"/>
  <c r="P109" i="2"/>
  <c r="O109" i="2"/>
  <c r="N109" i="2"/>
  <c r="M109" i="2"/>
  <c r="L109" i="2"/>
  <c r="K109" i="2"/>
  <c r="J109" i="2"/>
  <c r="I109" i="2"/>
  <c r="H109" i="2"/>
  <c r="C108" i="2"/>
  <c r="O105" i="2"/>
  <c r="N105" i="2"/>
  <c r="M105" i="2"/>
  <c r="L105" i="2"/>
  <c r="K105" i="2"/>
  <c r="J105" i="2"/>
  <c r="I105" i="2"/>
  <c r="H105" i="2"/>
  <c r="Q104" i="2"/>
  <c r="P104" i="2"/>
  <c r="O104" i="2"/>
  <c r="N104" i="2"/>
  <c r="M104" i="2"/>
  <c r="L104" i="2"/>
  <c r="K104" i="2"/>
  <c r="J104" i="2"/>
  <c r="I104" i="2"/>
  <c r="H104" i="2"/>
  <c r="C103" i="2"/>
  <c r="Q100" i="2"/>
  <c r="P100" i="2"/>
  <c r="O100" i="2"/>
  <c r="N100" i="2"/>
  <c r="M100" i="2"/>
  <c r="L100" i="2"/>
  <c r="K100" i="2"/>
  <c r="J100" i="2"/>
  <c r="I100" i="2"/>
  <c r="H100" i="2"/>
  <c r="Q99" i="2"/>
  <c r="P99" i="2"/>
  <c r="O99" i="2"/>
  <c r="N99" i="2"/>
  <c r="M99" i="2"/>
  <c r="L99" i="2"/>
  <c r="K99" i="2"/>
  <c r="J99" i="2"/>
  <c r="I99" i="2"/>
  <c r="H99" i="2"/>
  <c r="C98" i="2"/>
  <c r="Q94" i="2"/>
  <c r="P94" i="2"/>
  <c r="O94" i="2"/>
  <c r="N94" i="2"/>
  <c r="M94" i="2"/>
  <c r="L94" i="2"/>
  <c r="K94" i="2"/>
  <c r="J94" i="2"/>
  <c r="I94" i="2"/>
  <c r="H94" i="2"/>
  <c r="G94" i="2"/>
  <c r="F94" i="2"/>
  <c r="C93" i="2"/>
  <c r="O89" i="2"/>
  <c r="N89" i="2"/>
  <c r="M89" i="2"/>
  <c r="L89" i="2"/>
  <c r="K89" i="2"/>
  <c r="J89" i="2"/>
  <c r="I89" i="2"/>
  <c r="H89" i="2"/>
  <c r="Q88" i="2"/>
  <c r="P88" i="2"/>
  <c r="O88" i="2"/>
  <c r="N88" i="2"/>
  <c r="M88" i="2"/>
  <c r="L88" i="2"/>
  <c r="K88" i="2"/>
  <c r="J88" i="2"/>
  <c r="I88" i="2"/>
  <c r="H88" i="2"/>
  <c r="Q87" i="2"/>
  <c r="P87" i="2"/>
  <c r="O87" i="2"/>
  <c r="N87" i="2"/>
  <c r="M87" i="2"/>
  <c r="L87" i="2"/>
  <c r="K87" i="2"/>
  <c r="J87" i="2"/>
  <c r="I87" i="2"/>
  <c r="H87" i="2"/>
  <c r="G87" i="2"/>
  <c r="F87" i="2"/>
  <c r="C86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P81" i="2"/>
  <c r="O81" i="2"/>
  <c r="N81" i="2"/>
  <c r="M81" i="2"/>
  <c r="L81" i="2"/>
  <c r="K81" i="2"/>
  <c r="J81" i="2"/>
  <c r="I81" i="2"/>
  <c r="H81" i="2"/>
  <c r="Q80" i="2"/>
  <c r="P80" i="2"/>
  <c r="O80" i="2"/>
  <c r="N80" i="2"/>
  <c r="M80" i="2"/>
  <c r="L80" i="2"/>
  <c r="K80" i="2"/>
  <c r="J80" i="2"/>
  <c r="I80" i="2"/>
  <c r="H80" i="2"/>
  <c r="Q79" i="2"/>
  <c r="P79" i="2"/>
  <c r="O79" i="2"/>
  <c r="N79" i="2"/>
  <c r="M79" i="2"/>
  <c r="L79" i="2"/>
  <c r="K79" i="2"/>
  <c r="J79" i="2"/>
  <c r="I79" i="2"/>
  <c r="H79" i="2"/>
  <c r="G79" i="2"/>
  <c r="F79" i="2"/>
  <c r="C78" i="2"/>
  <c r="Q75" i="2"/>
  <c r="P75" i="2"/>
  <c r="O75" i="2"/>
  <c r="N75" i="2"/>
  <c r="M75" i="2"/>
  <c r="L75" i="2"/>
  <c r="K75" i="2"/>
  <c r="J75" i="2"/>
  <c r="I75" i="2"/>
  <c r="H75" i="2"/>
  <c r="G75" i="2"/>
  <c r="F75" i="2"/>
  <c r="P74" i="2"/>
  <c r="O74" i="2"/>
  <c r="N74" i="2"/>
  <c r="M74" i="2"/>
  <c r="L74" i="2"/>
  <c r="K74" i="2"/>
  <c r="J74" i="2"/>
  <c r="I74" i="2"/>
  <c r="H74" i="2"/>
  <c r="G74" i="2"/>
  <c r="Q73" i="2"/>
  <c r="P73" i="2"/>
  <c r="O73" i="2"/>
  <c r="N73" i="2"/>
  <c r="M73" i="2"/>
  <c r="L73" i="2"/>
  <c r="K73" i="2"/>
  <c r="J73" i="2"/>
  <c r="I73" i="2"/>
  <c r="H73" i="2"/>
  <c r="G73" i="2"/>
  <c r="F73" i="2"/>
  <c r="K72" i="2"/>
  <c r="J72" i="2"/>
  <c r="I72" i="2"/>
  <c r="H72" i="2"/>
  <c r="G72" i="2"/>
  <c r="F72" i="2"/>
  <c r="C71" i="2"/>
  <c r="Q68" i="2"/>
  <c r="P68" i="2"/>
  <c r="O68" i="2"/>
  <c r="N68" i="2"/>
  <c r="M68" i="2"/>
  <c r="L68" i="2"/>
  <c r="K68" i="2"/>
  <c r="J68" i="2"/>
  <c r="I68" i="2"/>
  <c r="H68" i="2"/>
  <c r="G68" i="2"/>
  <c r="Q67" i="2"/>
  <c r="P67" i="2"/>
  <c r="O67" i="2"/>
  <c r="N67" i="2"/>
  <c r="M67" i="2"/>
  <c r="L67" i="2"/>
  <c r="K67" i="2"/>
  <c r="J67" i="2"/>
  <c r="I67" i="2"/>
  <c r="H67" i="2"/>
  <c r="G67" i="2"/>
  <c r="F67" i="2"/>
  <c r="C66" i="2"/>
  <c r="Q63" i="2"/>
  <c r="P63" i="2"/>
  <c r="O63" i="2"/>
  <c r="N63" i="2"/>
  <c r="M63" i="2"/>
  <c r="L63" i="2"/>
  <c r="K63" i="2"/>
  <c r="J63" i="2"/>
  <c r="I63" i="2"/>
  <c r="H63" i="2"/>
  <c r="G63" i="2"/>
  <c r="F63" i="2"/>
  <c r="N62" i="2"/>
  <c r="M62" i="2"/>
  <c r="L62" i="2"/>
  <c r="K62" i="2"/>
  <c r="J62" i="2"/>
  <c r="I62" i="2"/>
  <c r="H62" i="2"/>
  <c r="Q61" i="2"/>
  <c r="P61" i="2"/>
  <c r="O61" i="2"/>
  <c r="N61" i="2"/>
  <c r="M61" i="2"/>
  <c r="L61" i="2"/>
  <c r="K61" i="2"/>
  <c r="J61" i="2"/>
  <c r="I61" i="2"/>
  <c r="H61" i="2"/>
  <c r="Q60" i="2"/>
  <c r="P60" i="2"/>
  <c r="O60" i="2"/>
  <c r="N60" i="2"/>
  <c r="M60" i="2"/>
  <c r="L60" i="2"/>
  <c r="K60" i="2"/>
  <c r="J60" i="2"/>
  <c r="I60" i="2"/>
  <c r="H60" i="2"/>
  <c r="G60" i="2"/>
  <c r="Q59" i="2"/>
  <c r="P59" i="2"/>
  <c r="O59" i="2"/>
  <c r="N59" i="2"/>
  <c r="M59" i="2"/>
  <c r="L59" i="2"/>
  <c r="K59" i="2"/>
  <c r="J59" i="2"/>
  <c r="I59" i="2"/>
  <c r="H59" i="2"/>
  <c r="G59" i="2"/>
  <c r="F59" i="2"/>
  <c r="Q58" i="2"/>
  <c r="P58" i="2"/>
  <c r="O58" i="2"/>
  <c r="N58" i="2"/>
  <c r="M58" i="2"/>
  <c r="L58" i="2"/>
  <c r="K58" i="2"/>
  <c r="J58" i="2"/>
  <c r="I58" i="2"/>
  <c r="H58" i="2"/>
  <c r="G58" i="2"/>
  <c r="F58" i="2"/>
  <c r="C57" i="2"/>
  <c r="Q54" i="2"/>
  <c r="P54" i="2"/>
  <c r="O54" i="2"/>
  <c r="N54" i="2"/>
  <c r="M54" i="2"/>
  <c r="L54" i="2"/>
  <c r="K54" i="2"/>
  <c r="J54" i="2"/>
  <c r="I54" i="2"/>
  <c r="H54" i="2"/>
  <c r="G54" i="2"/>
  <c r="F54" i="2"/>
  <c r="Q53" i="2"/>
  <c r="P53" i="2"/>
  <c r="O53" i="2"/>
  <c r="N53" i="2"/>
  <c r="M53" i="2"/>
  <c r="L53" i="2"/>
  <c r="K53" i="2"/>
  <c r="J53" i="2"/>
  <c r="I53" i="2"/>
  <c r="H53" i="2"/>
  <c r="G53" i="2"/>
  <c r="F53" i="2"/>
  <c r="C52" i="2"/>
  <c r="J49" i="2"/>
  <c r="I49" i="2"/>
  <c r="H49" i="2"/>
  <c r="G49" i="2"/>
  <c r="F49" i="2"/>
  <c r="Q48" i="2"/>
  <c r="P48" i="2"/>
  <c r="O48" i="2"/>
  <c r="N48" i="2"/>
  <c r="M48" i="2"/>
  <c r="L48" i="2"/>
  <c r="K48" i="2"/>
  <c r="J48" i="2"/>
  <c r="I48" i="2"/>
  <c r="H48" i="2"/>
  <c r="G48" i="2"/>
  <c r="F48" i="2"/>
  <c r="Q47" i="2"/>
  <c r="P47" i="2"/>
  <c r="O47" i="2"/>
  <c r="N47" i="2"/>
  <c r="M47" i="2"/>
  <c r="L47" i="2"/>
  <c r="K47" i="2"/>
  <c r="J47" i="2"/>
  <c r="I47" i="2"/>
  <c r="H47" i="2"/>
  <c r="G47" i="2"/>
  <c r="F47" i="2"/>
  <c r="C46" i="2"/>
  <c r="Q43" i="2"/>
  <c r="P43" i="2"/>
  <c r="O43" i="2"/>
  <c r="N43" i="2"/>
  <c r="M43" i="2"/>
  <c r="L43" i="2"/>
  <c r="K43" i="2"/>
  <c r="J43" i="2"/>
  <c r="I43" i="2"/>
  <c r="H43" i="2"/>
  <c r="G43" i="2"/>
  <c r="F43" i="2"/>
  <c r="Q42" i="2"/>
  <c r="P42" i="2"/>
  <c r="O42" i="2"/>
  <c r="N42" i="2"/>
  <c r="M42" i="2"/>
  <c r="L42" i="2"/>
  <c r="K42" i="2"/>
  <c r="J42" i="2"/>
  <c r="I42" i="2"/>
  <c r="H42" i="2"/>
  <c r="G42" i="2"/>
  <c r="F42" i="2"/>
  <c r="C41" i="2"/>
  <c r="Q38" i="2"/>
  <c r="P38" i="2"/>
  <c r="O38" i="2"/>
  <c r="N38" i="2"/>
  <c r="M38" i="2"/>
  <c r="L38" i="2"/>
  <c r="K38" i="2"/>
  <c r="J38" i="2"/>
  <c r="I38" i="2"/>
  <c r="H38" i="2"/>
  <c r="G38" i="2"/>
  <c r="F38" i="2"/>
  <c r="Q37" i="2"/>
  <c r="P37" i="2"/>
  <c r="O37" i="2"/>
  <c r="N37" i="2"/>
  <c r="M37" i="2"/>
  <c r="L37" i="2"/>
  <c r="K37" i="2"/>
  <c r="J37" i="2"/>
  <c r="I37" i="2"/>
  <c r="H37" i="2"/>
  <c r="G37" i="2"/>
  <c r="F37" i="2"/>
  <c r="Q36" i="2"/>
  <c r="P36" i="2"/>
  <c r="O36" i="2"/>
  <c r="N36" i="2"/>
  <c r="M36" i="2"/>
  <c r="L36" i="2"/>
  <c r="K36" i="2"/>
  <c r="J36" i="2"/>
  <c r="I36" i="2"/>
  <c r="H36" i="2"/>
  <c r="G36" i="2"/>
  <c r="F36" i="2"/>
  <c r="C35" i="2"/>
  <c r="Q32" i="2"/>
  <c r="P32" i="2"/>
  <c r="O32" i="2"/>
  <c r="N32" i="2"/>
  <c r="M32" i="2"/>
  <c r="L32" i="2"/>
  <c r="K32" i="2"/>
  <c r="J32" i="2"/>
  <c r="I32" i="2"/>
  <c r="H32" i="2"/>
  <c r="G32" i="2"/>
  <c r="F32" i="2"/>
  <c r="Q31" i="2"/>
  <c r="P31" i="2"/>
  <c r="O31" i="2"/>
  <c r="N31" i="2"/>
  <c r="M31" i="2"/>
  <c r="L31" i="2"/>
  <c r="K31" i="2"/>
  <c r="J31" i="2"/>
  <c r="I31" i="2"/>
  <c r="H31" i="2"/>
  <c r="G31" i="2"/>
  <c r="F31" i="2"/>
  <c r="C30" i="2"/>
  <c r="Q27" i="2"/>
  <c r="P27" i="2"/>
  <c r="O27" i="2"/>
  <c r="N27" i="2"/>
  <c r="M27" i="2"/>
  <c r="L27" i="2"/>
  <c r="K27" i="2"/>
  <c r="J27" i="2"/>
  <c r="I27" i="2"/>
  <c r="H27" i="2"/>
  <c r="G27" i="2"/>
  <c r="F27" i="2"/>
  <c r="Q26" i="2"/>
  <c r="P26" i="2"/>
  <c r="O26" i="2"/>
  <c r="N26" i="2"/>
  <c r="M26" i="2"/>
  <c r="L26" i="2"/>
  <c r="K26" i="2"/>
  <c r="J26" i="2"/>
  <c r="I26" i="2"/>
  <c r="H26" i="2"/>
  <c r="G26" i="2"/>
  <c r="F26" i="2"/>
  <c r="N25" i="2"/>
  <c r="M25" i="2"/>
  <c r="L25" i="2"/>
  <c r="K25" i="2"/>
  <c r="J25" i="2"/>
  <c r="I25" i="2"/>
  <c r="H25" i="2"/>
  <c r="G25" i="2"/>
  <c r="F25" i="2"/>
  <c r="Q24" i="2"/>
  <c r="P24" i="2"/>
  <c r="O24" i="2"/>
  <c r="N24" i="2"/>
  <c r="M24" i="2"/>
  <c r="L24" i="2"/>
  <c r="K24" i="2"/>
  <c r="J24" i="2"/>
  <c r="I24" i="2"/>
  <c r="H24" i="2"/>
  <c r="G24" i="2"/>
  <c r="F24" i="2"/>
  <c r="C23" i="2"/>
  <c r="Q20" i="2"/>
  <c r="P20" i="2"/>
  <c r="O20" i="2"/>
  <c r="N20" i="2"/>
  <c r="M20" i="2"/>
  <c r="L20" i="2"/>
  <c r="K20" i="2"/>
  <c r="J20" i="2"/>
  <c r="I20" i="2"/>
  <c r="H20" i="2"/>
  <c r="G20" i="2"/>
  <c r="F20" i="2"/>
  <c r="Q19" i="2"/>
  <c r="P19" i="2"/>
  <c r="O19" i="2"/>
  <c r="N19" i="2"/>
  <c r="M19" i="2"/>
  <c r="L19" i="2"/>
  <c r="K19" i="2"/>
  <c r="J19" i="2"/>
  <c r="I19" i="2"/>
  <c r="H19" i="2"/>
  <c r="G19" i="2"/>
  <c r="F19" i="2"/>
  <c r="K18" i="2"/>
  <c r="J18" i="2"/>
  <c r="I18" i="2"/>
  <c r="H18" i="2"/>
  <c r="G18" i="2"/>
  <c r="F18" i="2"/>
  <c r="Q17" i="2"/>
  <c r="P17" i="2"/>
  <c r="O17" i="2"/>
  <c r="N17" i="2"/>
  <c r="M17" i="2"/>
  <c r="L17" i="2"/>
  <c r="K17" i="2"/>
  <c r="J17" i="2"/>
  <c r="I17" i="2"/>
  <c r="H17" i="2"/>
  <c r="G17" i="2"/>
  <c r="F17" i="2"/>
  <c r="C16" i="2"/>
  <c r="Q13" i="2"/>
  <c r="P13" i="2"/>
  <c r="O13" i="2"/>
  <c r="N13" i="2"/>
  <c r="M13" i="2"/>
  <c r="L13" i="2"/>
  <c r="K13" i="2"/>
  <c r="J13" i="2"/>
  <c r="I13" i="2"/>
  <c r="H13" i="2"/>
  <c r="G13" i="2"/>
  <c r="F13" i="2"/>
  <c r="O12" i="2"/>
  <c r="N12" i="2"/>
  <c r="M12" i="2"/>
  <c r="L12" i="2"/>
  <c r="K12" i="2"/>
  <c r="J12" i="2"/>
  <c r="I12" i="2"/>
  <c r="H12" i="2"/>
  <c r="Q11" i="2"/>
  <c r="P11" i="2"/>
  <c r="O11" i="2"/>
  <c r="N11" i="2"/>
  <c r="M11" i="2"/>
  <c r="L11" i="2"/>
  <c r="K11" i="2"/>
  <c r="J11" i="2"/>
  <c r="I11" i="2"/>
  <c r="H11" i="2"/>
  <c r="G11" i="2"/>
  <c r="F11" i="2"/>
  <c r="C10" i="2"/>
  <c r="R186" i="2" l="1"/>
  <c r="E186" i="2" s="1"/>
  <c r="R68" i="2"/>
  <c r="E68" i="2" s="1"/>
  <c r="R159" i="2"/>
  <c r="E159" i="2" s="1"/>
  <c r="R164" i="2"/>
  <c r="E164" i="2" s="1"/>
  <c r="R155" i="2"/>
  <c r="E155" i="2" s="1"/>
  <c r="R74" i="2"/>
  <c r="E74" i="2" s="1"/>
  <c r="R89" i="2"/>
  <c r="E89" i="2" s="1"/>
  <c r="R114" i="2"/>
  <c r="E114" i="2" s="1"/>
  <c r="R129" i="2"/>
  <c r="E129" i="2" s="1"/>
  <c r="R24" i="2"/>
  <c r="R25" i="2"/>
  <c r="R73" i="2"/>
  <c r="E73" i="2" s="1"/>
  <c r="R168" i="2"/>
  <c r="E168" i="2" s="1"/>
  <c r="R182" i="2"/>
  <c r="E182" i="2" s="1"/>
  <c r="R82" i="2"/>
  <c r="E82" i="2" s="1"/>
  <c r="R60" i="2"/>
  <c r="E60" i="2" s="1"/>
  <c r="R75" i="2"/>
  <c r="E75" i="2" s="1"/>
  <c r="R81" i="2"/>
  <c r="E81" i="2" s="1"/>
  <c r="R139" i="2"/>
  <c r="E139" i="2" s="1"/>
  <c r="R144" i="2"/>
  <c r="E144" i="2" s="1"/>
  <c r="R163" i="2"/>
  <c r="E163" i="2" s="1"/>
  <c r="R177" i="2"/>
  <c r="E177" i="2" s="1"/>
  <c r="R38" i="2"/>
  <c r="E38" i="2" s="1"/>
  <c r="R17" i="2"/>
  <c r="E17" i="2" s="1"/>
  <c r="R18" i="2"/>
  <c r="E18" i="2" s="1"/>
  <c r="R47" i="2"/>
  <c r="E47" i="2" s="1"/>
  <c r="R48" i="2"/>
  <c r="E48" i="2" s="1"/>
  <c r="R49" i="2"/>
  <c r="E49" i="2" s="1"/>
  <c r="R110" i="2"/>
  <c r="E110" i="2" s="1"/>
  <c r="R140" i="2"/>
  <c r="E140" i="2" s="1"/>
  <c r="R172" i="2"/>
  <c r="E172" i="2" s="1"/>
  <c r="R187" i="2"/>
  <c r="E187" i="2" s="1"/>
  <c r="R59" i="2"/>
  <c r="E59" i="2" s="1"/>
  <c r="R87" i="2"/>
  <c r="E87" i="2" s="1"/>
  <c r="R11" i="2"/>
  <c r="E11" i="2" s="1"/>
  <c r="R63" i="2"/>
  <c r="E63" i="2" s="1"/>
  <c r="R79" i="2"/>
  <c r="E79" i="2" s="1"/>
  <c r="R88" i="2"/>
  <c r="E88" i="2" s="1"/>
  <c r="R125" i="2"/>
  <c r="E125" i="2" s="1"/>
  <c r="R61" i="2"/>
  <c r="E61" i="2" s="1"/>
  <c r="R12" i="2"/>
  <c r="E12" i="2" s="1"/>
  <c r="R109" i="2"/>
  <c r="E109" i="2" s="1"/>
  <c r="R37" i="2"/>
  <c r="E37" i="2" s="1"/>
  <c r="R67" i="2"/>
  <c r="E67" i="2" s="1"/>
  <c r="R124" i="2"/>
  <c r="E124" i="2" s="1"/>
  <c r="R154" i="2"/>
  <c r="E154" i="2" s="1"/>
  <c r="R43" i="2"/>
  <c r="E43" i="2" s="1"/>
  <c r="R105" i="2"/>
  <c r="E105" i="2" s="1"/>
  <c r="R36" i="2"/>
  <c r="E36" i="2" s="1"/>
  <c r="R26" i="2"/>
  <c r="E26" i="2" s="1"/>
  <c r="R27" i="2"/>
  <c r="R72" i="2"/>
  <c r="E72" i="2" s="1"/>
  <c r="R80" i="2"/>
  <c r="E80" i="2" s="1"/>
  <c r="R120" i="2"/>
  <c r="E120" i="2" s="1"/>
  <c r="R135" i="2"/>
  <c r="E135" i="2" s="1"/>
  <c r="R145" i="2"/>
  <c r="E145" i="2" s="1"/>
  <c r="R150" i="2"/>
  <c r="E150" i="2" s="1"/>
  <c r="R13" i="2"/>
  <c r="E13" i="2" s="1"/>
  <c r="R42" i="2"/>
  <c r="E42" i="2" s="1"/>
  <c r="R19" i="2"/>
  <c r="E19" i="2" s="1"/>
  <c r="R62" i="2"/>
  <c r="E62" i="2" s="1"/>
  <c r="R94" i="2"/>
  <c r="E94" i="2" s="1"/>
  <c r="R100" i="2"/>
  <c r="E100" i="2" s="1"/>
  <c r="R104" i="2"/>
  <c r="E104" i="2" s="1"/>
  <c r="R58" i="2"/>
  <c r="E58" i="2" s="1"/>
  <c r="R20" i="2"/>
  <c r="E20" i="2" s="1"/>
  <c r="R31" i="2"/>
  <c r="R32" i="2"/>
  <c r="R53" i="2"/>
  <c r="E53" i="2" s="1"/>
  <c r="R54" i="2"/>
  <c r="E54" i="2" s="1"/>
  <c r="R119" i="2"/>
  <c r="E119" i="2" s="1"/>
  <c r="R134" i="2"/>
  <c r="E134" i="2" s="1"/>
  <c r="R83" i="2"/>
  <c r="E83" i="2" s="1"/>
  <c r="R99" i="2"/>
  <c r="E99" i="2" s="1"/>
  <c r="R115" i="2"/>
  <c r="E115" i="2" s="1"/>
  <c r="R130" i="2"/>
  <c r="E130" i="2" s="1"/>
  <c r="R178" i="2"/>
  <c r="E178" i="2" s="1"/>
  <c r="E16" i="2" l="1"/>
  <c r="E15" i="2"/>
  <c r="E10" i="2"/>
  <c r="E9" i="2"/>
  <c r="E185" i="2"/>
  <c r="E184" i="2"/>
  <c r="E180" i="2"/>
  <c r="E181" i="2"/>
  <c r="E175" i="2"/>
  <c r="E176" i="2"/>
  <c r="E170" i="2"/>
  <c r="E171" i="2"/>
  <c r="E167" i="2"/>
  <c r="E166" i="2"/>
  <c r="E161" i="2"/>
  <c r="E162" i="2"/>
  <c r="E157" i="2"/>
  <c r="E158" i="2"/>
  <c r="E152" i="2"/>
  <c r="E153" i="2"/>
  <c r="E148" i="2"/>
  <c r="E149" i="2"/>
  <c r="E142" i="2"/>
  <c r="E143" i="2"/>
  <c r="E137" i="2"/>
  <c r="E138" i="2"/>
  <c r="E132" i="2"/>
  <c r="E133" i="2"/>
  <c r="E127" i="2"/>
  <c r="E128" i="2"/>
  <c r="E122" i="2"/>
  <c r="E123" i="2"/>
  <c r="E117" i="2"/>
  <c r="E118" i="2"/>
  <c r="E112" i="2"/>
  <c r="E113" i="2"/>
  <c r="E107" i="2"/>
  <c r="E108" i="2"/>
  <c r="E102" i="2"/>
  <c r="E103" i="2"/>
  <c r="E97" i="2"/>
  <c r="E98" i="2"/>
  <c r="E92" i="2"/>
  <c r="E96" i="2" s="1"/>
  <c r="E93" i="2"/>
  <c r="E85" i="2"/>
  <c r="E86" i="2"/>
  <c r="E77" i="2"/>
  <c r="E78" i="2"/>
  <c r="E70" i="2"/>
  <c r="E71" i="2"/>
  <c r="E65" i="2"/>
  <c r="E66" i="2"/>
  <c r="E56" i="2"/>
  <c r="E57" i="2"/>
  <c r="E51" i="2"/>
  <c r="E52" i="2"/>
  <c r="E45" i="2"/>
  <c r="E46" i="2"/>
  <c r="E40" i="2"/>
  <c r="E41" i="2"/>
  <c r="E34" i="2"/>
  <c r="E35" i="2"/>
  <c r="E22" i="2"/>
  <c r="E23" i="2"/>
  <c r="E189" i="2" l="1"/>
  <c r="E174" i="2"/>
  <c r="E147" i="2"/>
  <c r="E91" i="2"/>
  <c r="J7" i="2" l="1"/>
</calcChain>
</file>

<file path=xl/sharedStrings.xml><?xml version="1.0" encoding="utf-8"?>
<sst xmlns="http://schemas.openxmlformats.org/spreadsheetml/2006/main" count="348" uniqueCount="101">
  <si>
    <t>Categoría Programática y Partida Presupuestaria y Naturaleza de los Servicios</t>
  </si>
  <si>
    <t xml:space="preserve">OFICINAS CENTRALES  </t>
  </si>
  <si>
    <t xml:space="preserve">PROGRAMADO </t>
  </si>
  <si>
    <t xml:space="preserve">PENDIENTE DE PROGRAMAR </t>
  </si>
  <si>
    <t>2025-11130016-217-31-00-000-009-031-0101-11-0000-0000</t>
  </si>
  <si>
    <t>Auxiliar Misceláneo</t>
  </si>
  <si>
    <t>02/01/2025  AL 31/12/2025</t>
  </si>
  <si>
    <t>Peón Vigilante III</t>
  </si>
  <si>
    <t>DIRECCIÓN REGIONAL METROPOLITANA</t>
  </si>
  <si>
    <t>2025-11130016-217-31-00-000-010-031-0108-11-0000-0000</t>
  </si>
  <si>
    <t>02/01/2025  AL 30/06/2025</t>
  </si>
  <si>
    <t>Bodeguero IV</t>
  </si>
  <si>
    <t>DIRECCIÓN REGIONAL ALTIPLANO CENTRAL</t>
  </si>
  <si>
    <t>2025-11130016-217-31-00-000-010-031-0701-11-0000-0000</t>
  </si>
  <si>
    <t>02/01/2025  AL 30/09/2025</t>
  </si>
  <si>
    <t>Peón Vigilante IV</t>
  </si>
  <si>
    <t>DIRECCIÓN REGIONAL ALTIPLANO OCCIDENTAL</t>
  </si>
  <si>
    <t>2025-11130016-217-31-00-000-010-031-0901-11-0000-0000</t>
  </si>
  <si>
    <t>DIRECCIÓN REGIONAL COSTA SUR</t>
  </si>
  <si>
    <t>2025-11130016-217-31-00-000-010-031-1101-11-0000-0000</t>
  </si>
  <si>
    <t>Peón Vigilante V</t>
  </si>
  <si>
    <t xml:space="preserve">DIRECCIÓN REGIONAL NOROCCIDENTE </t>
  </si>
  <si>
    <t>2025-11130016-217-31-00-000-010-031-1302-11-0000-0000</t>
  </si>
  <si>
    <t>DIRECCIÓN REGIONAL VERAPACES</t>
  </si>
  <si>
    <t>2025-11130016-217-31-00-000-010-031-1601-11-0000-0000</t>
  </si>
  <si>
    <t>02/01/2025  AL 31/05/2025</t>
  </si>
  <si>
    <t>DIRECCIÓN REGIONAL VERAPACES (LANQUÍN)</t>
  </si>
  <si>
    <t>2025-11130016-217-31-00-000-010-031-1611-11-0000-0000</t>
  </si>
  <si>
    <t>DIRECCIÓN REGIONAL PÉTEN</t>
  </si>
  <si>
    <t>2025-11130016-217-31-00-000-010-031-1703-11-0000-0000</t>
  </si>
  <si>
    <t>01/02/2025  AL 31/12/2025</t>
  </si>
  <si>
    <t>01/03/2025  AL 31/12/2025</t>
  </si>
  <si>
    <t>01/03/2025  AL 30/09/2025</t>
  </si>
  <si>
    <t>PARQUE NACIONAL LAGUNA DEL TIGRE</t>
  </si>
  <si>
    <t>2025-11130016-217-31-00-000-010-031-1704-11-0000-0000</t>
  </si>
  <si>
    <t xml:space="preserve">DIRECCIÓN REGIONAL NORORIENTE </t>
  </si>
  <si>
    <t>2025-11130016-217-31-00-000-010-031-1801-11-0000-0000</t>
  </si>
  <si>
    <t>02/02/2025  AL 30/11/2025</t>
  </si>
  <si>
    <t>DIRECCIÓN REGIONAL ORIENTE</t>
  </si>
  <si>
    <t>2025-11130016-217-31-00-000-010-031-1901-11-0000-0000</t>
  </si>
  <si>
    <t>01/03/2025  AL 30/11/2025</t>
  </si>
  <si>
    <t>DIRECCIÓN REGIONAL SURORIENTE</t>
  </si>
  <si>
    <t>2025-11130016-217-31-00-000-010-031-2201-11-0000-0000</t>
  </si>
  <si>
    <t>01/03/2025  AL 31/10/2025</t>
  </si>
  <si>
    <t>2025-11130016-217-31-00-000-010-031-1611-31-0000-0000</t>
  </si>
  <si>
    <t>2025-11130016-217-31-00-000-010-031-0108-41-1204-0090</t>
  </si>
  <si>
    <t>2025-11130016-217-31-00-000-010-031-0701-41-1204-0090</t>
  </si>
  <si>
    <t>2025-11130016-217-31-00-000-010-031-0901-41-1204-0090</t>
  </si>
  <si>
    <t>2025-11130016-217-31-00-000-010-031-1101-41-1204-0090</t>
  </si>
  <si>
    <t>2025-11130016-217-31-00-000-010-031-1302-41-1204-0090</t>
  </si>
  <si>
    <t>2025-11130016-217-31-00-000-010-031-1601-41-1204-0090</t>
  </si>
  <si>
    <t>2025-11130016-217-31-00-000-010-031-1703-41-1204-0090</t>
  </si>
  <si>
    <t>2025-11130016-217-31-00-000-010-031-1801-41-1204-0090</t>
  </si>
  <si>
    <t>02/03/2025  AL 31/05/2025</t>
  </si>
  <si>
    <t>2025-11130016-217-31-00-000-010-031-1901-41-1204-0090</t>
  </si>
  <si>
    <t>2025-11130016-217-31-00-000-010-031-2201-41-1204-0090</t>
  </si>
  <si>
    <t>2025-11130016-217-31-00-000-016-031-1101-41-1204-0090</t>
  </si>
  <si>
    <t>2025-11130016-217-31-00-000-016-031-1601-41-1204-0090</t>
  </si>
  <si>
    <t>01/04/2025  AL 31/05/2025</t>
  </si>
  <si>
    <t>2025-11130016-217-31-00-000-016-031-1703-41-1204-0090</t>
  </si>
  <si>
    <t>2025-11130016-217-31-00-000-016-031-1801-41-1204-0090</t>
  </si>
  <si>
    <t>2025-11130016-217-31-00-000-016-031-1901-41-1204-0090</t>
  </si>
  <si>
    <t>2025-11130016-217-31-00-000-016-031-2201-41-1204-0090</t>
  </si>
  <si>
    <t>2025-11130016-217-31-00-000-018-031-0701-41-1204-0090</t>
  </si>
  <si>
    <t>01/03/2025  AL 31/05/2025</t>
  </si>
  <si>
    <t>2025-11130016-217-31-00-000-018-031-0901-41-1204-0090</t>
  </si>
  <si>
    <t>01/03/2025  AL 31/09/2025</t>
  </si>
  <si>
    <t>2025-11130016-217-31-00-000-018-031-1302-41-1204-0090</t>
  </si>
  <si>
    <t>DIRECCIÓN DE RECURSOS HUMANOS</t>
  </si>
  <si>
    <t>PERIODO FISCAL 2025</t>
  </si>
  <si>
    <t>FUENTE DE FINANCIAMIENTO 11 "INGRESOS CORRIENTES", 31 "INGRESOS PROPIOS"</t>
  </si>
  <si>
    <t xml:space="preserve">TOTALES </t>
  </si>
  <si>
    <t xml:space="preserve">Septiembre 30 </t>
  </si>
  <si>
    <t>Octubre  31</t>
  </si>
  <si>
    <t>Noviembre 30</t>
  </si>
  <si>
    <t>Diciembre 31</t>
  </si>
  <si>
    <t xml:space="preserve">TOTAL </t>
  </si>
  <si>
    <t>Agosto         31</t>
  </si>
  <si>
    <t>Julio           31</t>
  </si>
  <si>
    <t>Junio             30</t>
  </si>
  <si>
    <t>Abril            30</t>
  </si>
  <si>
    <t>Marzo             31</t>
  </si>
  <si>
    <t>Febrero       28</t>
  </si>
  <si>
    <t>Enero                31</t>
  </si>
  <si>
    <t xml:space="preserve">GRAN TOTAL </t>
  </si>
  <si>
    <t xml:space="preserve">Montos Anuales </t>
  </si>
  <si>
    <t>41 "COLOCACIONES INTERNAS"</t>
  </si>
  <si>
    <t>Tipo Jornal</t>
  </si>
  <si>
    <t>Vigencia Del Contrato</t>
  </si>
  <si>
    <t xml:space="preserve">Cantidad De Puestos </t>
  </si>
  <si>
    <t>REPROGRAMACION DE RENGLÓN 031 "JORNALES"</t>
  </si>
  <si>
    <t>TOTAL FUENTE 11  ACTIVIDAD "09"  "10"</t>
  </si>
  <si>
    <t>TOTAL FUENTE 31  ACTIVIDAD "10"</t>
  </si>
  <si>
    <t>TOTAL FUENTE 41  ACTIVIDAD "10"</t>
  </si>
  <si>
    <t>TOTAL FUENTE 41  ACTIVIDAD "16"</t>
  </si>
  <si>
    <t>TOTAL FUENTE 41  ACTIVIDAD "18"</t>
  </si>
  <si>
    <t>Mayo                               31</t>
  </si>
  <si>
    <t>MONUMENTO NATURAL SEMUC CHAMPEY</t>
  </si>
  <si>
    <t>DIRECCIÓN REGIONAL NOROCCIDENTE</t>
  </si>
  <si>
    <t>DIRECCIÓN REGIONAL PETÉN</t>
  </si>
  <si>
    <t>DIRECCIÓN REGIONAL NORORIENTE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</si>
</sst>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Verdana"/>
      <family val="2"/>
    </font>
    <font>
      <sz val="11"/>
      <name val="Arial Unicode MS"/>
      <family val="2"/>
    </font>
    <font>
      <b/>
      <sz val="11"/>
      <name val="Arial Unicode MS"/>
    </font>
    <font>
      <b/>
      <sz val="12"/>
      <color theme="1"/>
      <name val="Aptos Narrow"/>
      <family val="2"/>
      <scheme val="minor"/>
    </font>
    <font>
      <b/>
      <sz val="11"/>
      <color theme="1"/>
      <name val="Arial Unicode MS"/>
    </font>
    <font>
      <sz val="11"/>
      <name val="Arial Unicode MS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rial Unicode MS"/>
    </font>
    <font>
      <b/>
      <sz val="14"/>
      <color theme="0"/>
      <name val="Aptos Narrow"/>
      <family val="2"/>
      <scheme val="minor"/>
    </font>
    <font>
      <b/>
      <sz val="11"/>
      <color theme="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0" fillId="0" borderId="0" xfId="0" applyAlignment="1">
      <alignment horizontal="center" vertical="center" wrapText="1"/>
    </xf>
    <xf numFmtId="4" fontId="4" fillId="0" borderId="3" xfId="2" applyNumberFormat="1" applyFont="1" applyBorder="1" applyAlignment="1">
      <alignment vertical="center"/>
    </xf>
    <xf numFmtId="4" fontId="4" fillId="0" borderId="4" xfId="2" applyNumberFormat="1" applyFont="1" applyBorder="1" applyAlignment="1">
      <alignment vertical="center"/>
    </xf>
    <xf numFmtId="0" fontId="0" fillId="0" borderId="4" xfId="0" applyBorder="1"/>
    <xf numFmtId="0" fontId="0" fillId="0" borderId="12" xfId="0" applyBorder="1"/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" fontId="0" fillId="0" borderId="7" xfId="0" applyNumberFormat="1" applyBorder="1"/>
    <xf numFmtId="4" fontId="0" fillId="0" borderId="0" xfId="0" applyNumberFormat="1"/>
    <xf numFmtId="4" fontId="0" fillId="0" borderId="8" xfId="0" applyNumberFormat="1" applyBorder="1"/>
    <xf numFmtId="4" fontId="4" fillId="0" borderId="12" xfId="2" applyNumberFormat="1" applyFont="1" applyBorder="1" applyAlignment="1">
      <alignment vertical="center"/>
    </xf>
    <xf numFmtId="4" fontId="4" fillId="0" borderId="6" xfId="2" applyNumberFormat="1" applyFont="1" applyBorder="1" applyAlignment="1">
      <alignment vertical="center"/>
    </xf>
    <xf numFmtId="4" fontId="4" fillId="0" borderId="1" xfId="2" applyNumberFormat="1" applyFont="1" applyBorder="1" applyAlignment="1">
      <alignment vertical="center"/>
    </xf>
    <xf numFmtId="4" fontId="4" fillId="0" borderId="14" xfId="2" applyNumberFormat="1" applyFont="1" applyBorder="1" applyAlignment="1">
      <alignment vertical="center"/>
    </xf>
    <xf numFmtId="4" fontId="8" fillId="0" borderId="3" xfId="2" applyNumberFormat="1" applyFont="1" applyBorder="1" applyAlignment="1">
      <alignment vertical="center"/>
    </xf>
    <xf numFmtId="4" fontId="8" fillId="0" borderId="4" xfId="2" applyNumberFormat="1" applyFont="1" applyBorder="1" applyAlignment="1">
      <alignment vertical="center"/>
    </xf>
    <xf numFmtId="4" fontId="8" fillId="0" borderId="12" xfId="2" applyNumberFormat="1" applyFont="1" applyBorder="1" applyAlignment="1">
      <alignment vertical="center"/>
    </xf>
    <xf numFmtId="4" fontId="8" fillId="0" borderId="6" xfId="2" applyNumberFormat="1" applyFont="1" applyBorder="1" applyAlignment="1">
      <alignment vertical="center"/>
    </xf>
    <xf numFmtId="4" fontId="8" fillId="0" borderId="1" xfId="2" applyNumberFormat="1" applyFont="1" applyBorder="1" applyAlignment="1">
      <alignment vertical="center"/>
    </xf>
    <xf numFmtId="4" fontId="8" fillId="0" borderId="14" xfId="2" applyNumberFormat="1" applyFont="1" applyBorder="1" applyAlignment="1">
      <alignment vertical="center"/>
    </xf>
    <xf numFmtId="4" fontId="9" fillId="2" borderId="1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/>
    <xf numFmtId="0" fontId="0" fillId="0" borderId="8" xfId="0" applyBorder="1" applyAlignment="1">
      <alignment horizontal="center" wrapText="1"/>
    </xf>
    <xf numFmtId="49" fontId="5" fillId="3" borderId="8" xfId="2" applyNumberFormat="1" applyFont="1" applyFill="1" applyBorder="1" applyAlignment="1">
      <alignment horizontal="center" vertical="center"/>
    </xf>
    <xf numFmtId="4" fontId="7" fillId="3" borderId="8" xfId="2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left"/>
    </xf>
    <xf numFmtId="4" fontId="7" fillId="3" borderId="7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9" fontId="5" fillId="3" borderId="7" xfId="2" applyNumberFormat="1" applyFont="1" applyFill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 wrapText="1"/>
    </xf>
    <xf numFmtId="4" fontId="7" fillId="3" borderId="8" xfId="2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/>
    <xf numFmtId="0" fontId="9" fillId="0" borderId="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centerContinuous" vertical="center"/>
    </xf>
    <xf numFmtId="44" fontId="9" fillId="0" borderId="8" xfId="0" applyNumberFormat="1" applyFont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 wrapText="1"/>
    </xf>
    <xf numFmtId="4" fontId="0" fillId="0" borderId="13" xfId="0" applyNumberFormat="1" applyBorder="1"/>
    <xf numFmtId="0" fontId="0" fillId="0" borderId="15" xfId="0" applyBorder="1"/>
    <xf numFmtId="0" fontId="0" fillId="0" borderId="6" xfId="0" applyBorder="1"/>
    <xf numFmtId="0" fontId="12" fillId="4" borderId="8" xfId="0" applyFont="1" applyFill="1" applyBorder="1" applyAlignment="1">
      <alignment horizontal="right" vertical="center"/>
    </xf>
    <xf numFmtId="4" fontId="13" fillId="4" borderId="9" xfId="2" applyNumberFormat="1" applyFont="1" applyFill="1" applyBorder="1" applyAlignment="1">
      <alignment horizontal="right" vertical="center" wrapText="1"/>
    </xf>
    <xf numFmtId="49" fontId="13" fillId="4" borderId="7" xfId="2" applyNumberFormat="1" applyFont="1" applyFill="1" applyBorder="1" applyAlignment="1">
      <alignment horizontal="center" vertical="center" wrapText="1"/>
    </xf>
    <xf numFmtId="4" fontId="13" fillId="4" borderId="7" xfId="2" applyNumberFormat="1" applyFont="1" applyFill="1" applyBorder="1" applyAlignment="1">
      <alignment vertical="center"/>
    </xf>
    <xf numFmtId="49" fontId="13" fillId="4" borderId="8" xfId="2" applyNumberFormat="1" applyFont="1" applyFill="1" applyBorder="1" applyAlignment="1">
      <alignment horizontal="center" vertical="center"/>
    </xf>
    <xf numFmtId="4" fontId="13" fillId="4" borderId="8" xfId="2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/>
    </xf>
    <xf numFmtId="4" fontId="9" fillId="2" borderId="8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Border="1" applyAlignment="1">
      <alignment horizontal="center" vertical="center"/>
    </xf>
    <xf numFmtId="4" fontId="13" fillId="0" borderId="8" xfId="2" applyNumberFormat="1" applyFont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44" fontId="10" fillId="0" borderId="0" xfId="0" applyNumberFormat="1" applyFont="1" applyAlignment="1">
      <alignment horizontal="center" vertical="center"/>
    </xf>
    <xf numFmtId="4" fontId="9" fillId="2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</cellXfs>
  <cellStyles count="3">
    <cellStyle name="Moneda 2" xfId="1" xr:uid="{96171020-BE7F-4F57-A008-C2E25A9CB755}"/>
    <cellStyle name="Normal" xfId="0" builtinId="0"/>
    <cellStyle name="Normal 4" xfId="2" xr:uid="{FE85D2C8-6718-41F3-8EE3-B3A20F18B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0</xdr:rowOff>
    </xdr:from>
    <xdr:to>
      <xdr:col>1</xdr:col>
      <xdr:colOff>1067330</xdr:colOff>
      <xdr:row>4</xdr:row>
      <xdr:rowOff>170656</xdr:rowOff>
    </xdr:to>
    <xdr:pic>
      <xdr:nvPicPr>
        <xdr:cNvPr id="5" name="Imagen 4" descr="Hoja Membretada Carta, CONAP Central">
          <a:extLst>
            <a:ext uri="{FF2B5EF4-FFF2-40B4-BE49-F238E27FC236}">
              <a16:creationId xmlns:a16="http://schemas.microsoft.com/office/drawing/2014/main" id="{3669F7B3-1515-45BC-9BB6-B5FBDACA5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324" b="85057"/>
        <a:stretch/>
      </xdr:blipFill>
      <xdr:spPr bwMode="auto">
        <a:xfrm>
          <a:off x="514351" y="0"/>
          <a:ext cx="4672542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639C-E9A4-4390-909D-FE184DD1A128}">
  <dimension ref="A1:S189"/>
  <sheetViews>
    <sheetView showGridLines="0" tabSelected="1" zoomScaleNormal="100" workbookViewId="0">
      <pane xSplit="5" ySplit="8" topLeftCell="F27" activePane="bottomRight" state="frozen"/>
      <selection pane="topRight" activeCell="F1" sqref="F1"/>
      <selection pane="bottomLeft" activeCell="A11" sqref="A11"/>
      <selection pane="bottomRight" activeCell="A31" sqref="A31:A33"/>
    </sheetView>
  </sheetViews>
  <sheetFormatPr baseColWidth="10" defaultRowHeight="41.25" customHeight="1"/>
  <cols>
    <col min="1" max="1" width="61.7109375" customWidth="1"/>
    <col min="2" max="2" width="21.5703125" customWidth="1"/>
    <col min="3" max="3" width="14.42578125" customWidth="1"/>
    <col min="4" max="4" width="19" customWidth="1"/>
    <col min="5" max="5" width="18.42578125" customWidth="1"/>
    <col min="6" max="6" width="15.28515625" bestFit="1" customWidth="1"/>
    <col min="7" max="7" width="14.28515625" customWidth="1"/>
    <col min="8" max="8" width="13.42578125" bestFit="1" customWidth="1"/>
    <col min="9" max="9" width="13.85546875" bestFit="1" customWidth="1"/>
    <col min="10" max="10" width="21.5703125" bestFit="1" customWidth="1"/>
    <col min="11" max="11" width="15" customWidth="1"/>
    <col min="12" max="13" width="13.42578125" bestFit="1" customWidth="1"/>
    <col min="14" max="14" width="15.28515625" bestFit="1" customWidth="1"/>
    <col min="15" max="15" width="12.42578125" customWidth="1"/>
    <col min="16" max="16" width="13.85546875" bestFit="1" customWidth="1"/>
    <col min="17" max="17" width="13.42578125" bestFit="1" customWidth="1"/>
    <col min="18" max="18" width="15.42578125" customWidth="1"/>
  </cols>
  <sheetData>
    <row r="1" spans="1:19" ht="35.25" customHeight="1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 ht="17.25" customHeight="1">
      <c r="A2" s="91" t="s">
        <v>90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9" s="1" customFormat="1" ht="33" customHeight="1">
      <c r="A3" s="91" t="s">
        <v>70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9" ht="18.75" customHeight="1">
      <c r="A4" s="91" t="s">
        <v>86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9" ht="23.25" customHeight="1">
      <c r="A5" s="91" t="s">
        <v>69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9" ht="23.25" customHeight="1">
      <c r="A6" s="31"/>
      <c r="B6" s="31"/>
      <c r="C6" s="31"/>
      <c r="D6" s="31"/>
      <c r="E6" s="31"/>
      <c r="F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9" ht="23.25" customHeight="1">
      <c r="A7" s="31"/>
      <c r="B7" s="31"/>
      <c r="C7" s="31"/>
      <c r="D7" s="31"/>
      <c r="E7" s="31"/>
      <c r="F7" s="31"/>
      <c r="G7" s="60" t="s">
        <v>84</v>
      </c>
      <c r="H7" s="61"/>
      <c r="I7" s="62"/>
      <c r="J7" s="63">
        <f>E91+E96+E147+E174+E189</f>
        <v>27174514.00000019</v>
      </c>
      <c r="K7" s="83"/>
      <c r="L7" s="31"/>
      <c r="M7" s="31"/>
      <c r="N7" s="31"/>
      <c r="O7" s="31"/>
      <c r="P7" s="31"/>
      <c r="Q7" s="31"/>
      <c r="R7" s="31"/>
    </row>
    <row r="8" spans="1:19" ht="41.25" customHeight="1">
      <c r="A8" s="64" t="s">
        <v>0</v>
      </c>
      <c r="B8" s="64" t="s">
        <v>87</v>
      </c>
      <c r="C8" s="64" t="s">
        <v>89</v>
      </c>
      <c r="D8" s="64" t="s">
        <v>88</v>
      </c>
      <c r="E8" s="64" t="s">
        <v>85</v>
      </c>
      <c r="F8" s="64" t="s">
        <v>83</v>
      </c>
      <c r="G8" s="64" t="s">
        <v>82</v>
      </c>
      <c r="H8" s="64" t="s">
        <v>81</v>
      </c>
      <c r="I8" s="64" t="s">
        <v>80</v>
      </c>
      <c r="J8" s="64" t="s">
        <v>96</v>
      </c>
      <c r="K8" s="64" t="s">
        <v>79</v>
      </c>
      <c r="L8" s="64" t="s">
        <v>78</v>
      </c>
      <c r="M8" s="64" t="s">
        <v>77</v>
      </c>
      <c r="N8" s="64" t="s">
        <v>72</v>
      </c>
      <c r="O8" s="64" t="s">
        <v>73</v>
      </c>
      <c r="P8" s="64" t="s">
        <v>74</v>
      </c>
      <c r="Q8" s="64" t="s">
        <v>75</v>
      </c>
      <c r="R8" s="64" t="s">
        <v>71</v>
      </c>
    </row>
    <row r="9" spans="1:19" ht="41.25" customHeight="1">
      <c r="A9" s="85" t="s">
        <v>1</v>
      </c>
      <c r="B9" s="86"/>
      <c r="C9" s="87"/>
      <c r="D9" s="48" t="s">
        <v>76</v>
      </c>
      <c r="E9" s="49">
        <f>SUM(E11:E14)</f>
        <v>963283.99999999988</v>
      </c>
      <c r="F9" s="2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5"/>
    </row>
    <row r="10" spans="1:19" ht="41.25" customHeight="1">
      <c r="A10" s="37" t="s">
        <v>4</v>
      </c>
      <c r="B10" s="38"/>
      <c r="C10" s="10">
        <f>SUM(C11:C13)</f>
        <v>37</v>
      </c>
      <c r="D10" s="68" t="s">
        <v>2</v>
      </c>
      <c r="E10" s="69">
        <f>E11+E12+E13</f>
        <v>962442.45</v>
      </c>
      <c r="F10" s="6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19" ht="41.25" customHeight="1">
      <c r="A11" s="88"/>
      <c r="B11" s="11" t="s">
        <v>5</v>
      </c>
      <c r="C11" s="12">
        <v>33</v>
      </c>
      <c r="D11" s="12" t="s">
        <v>6</v>
      </c>
      <c r="E11" s="15">
        <f>R11</f>
        <v>860012.99999999988</v>
      </c>
      <c r="F11" s="13">
        <f>((71.4*31)*33)</f>
        <v>73042.2</v>
      </c>
      <c r="G11" s="13">
        <f>((71.4*28)*33)</f>
        <v>65973.600000000006</v>
      </c>
      <c r="H11" s="13">
        <f>((71.4*31)*33)</f>
        <v>73042.2</v>
      </c>
      <c r="I11" s="13">
        <f>((71.4*30)*33)</f>
        <v>70686</v>
      </c>
      <c r="J11" s="13">
        <f>((71.4*31)*33)</f>
        <v>73042.2</v>
      </c>
      <c r="K11" s="13">
        <f>((71.4*30)*33)</f>
        <v>70686</v>
      </c>
      <c r="L11" s="13">
        <f>((71.4*31)*33)</f>
        <v>73042.2</v>
      </c>
      <c r="M11" s="13">
        <f>((71.4*31)*33)</f>
        <v>73042.2</v>
      </c>
      <c r="N11" s="13">
        <f>((71.4*30)*33)</f>
        <v>70686</v>
      </c>
      <c r="O11" s="13">
        <f>((71.4*31)*33)</f>
        <v>73042.2</v>
      </c>
      <c r="P11" s="13">
        <f>((71.4*30)*33)</f>
        <v>70686</v>
      </c>
      <c r="Q11" s="13">
        <f>((71.4*31)*33)</f>
        <v>73042.2</v>
      </c>
      <c r="R11" s="13">
        <f>F11+G11+H11+I11+J11+K11+L11+M11+N11+O11+P11+Q11</f>
        <v>860012.99999999988</v>
      </c>
      <c r="S11" s="14"/>
    </row>
    <row r="12" spans="1:19" ht="41.25" customHeight="1">
      <c r="A12" s="89"/>
      <c r="B12" s="11" t="s">
        <v>5</v>
      </c>
      <c r="C12" s="12">
        <v>1</v>
      </c>
      <c r="D12" s="12" t="s">
        <v>43</v>
      </c>
      <c r="E12" s="15">
        <f>R12</f>
        <v>21848.400000000001</v>
      </c>
      <c r="F12" s="15"/>
      <c r="G12" s="15"/>
      <c r="H12" s="15">
        <f>71.4*31</f>
        <v>2213.4</v>
      </c>
      <c r="I12" s="15">
        <f>71.4*30</f>
        <v>2142</v>
      </c>
      <c r="J12" s="15">
        <f>71.4*31</f>
        <v>2213.4</v>
      </c>
      <c r="K12" s="15">
        <f>71.4*30</f>
        <v>2142</v>
      </c>
      <c r="L12" s="15">
        <f>71.4*31</f>
        <v>2213.4</v>
      </c>
      <c r="M12" s="15">
        <f>71.4*31</f>
        <v>2213.4</v>
      </c>
      <c r="N12" s="15">
        <f>71.4*30</f>
        <v>2142</v>
      </c>
      <c r="O12" s="15">
        <f>71.4*31</f>
        <v>2213.4</v>
      </c>
      <c r="P12" s="15">
        <f>71.4*30</f>
        <v>2142</v>
      </c>
      <c r="Q12" s="15">
        <f>71.4*31</f>
        <v>2213.4</v>
      </c>
      <c r="R12" s="15">
        <f>SUM(F12:Q12)</f>
        <v>21848.400000000001</v>
      </c>
      <c r="S12" s="14"/>
    </row>
    <row r="13" spans="1:19" ht="41.25" customHeight="1">
      <c r="A13" s="89"/>
      <c r="B13" s="10" t="s">
        <v>7</v>
      </c>
      <c r="C13" s="12">
        <v>3</v>
      </c>
      <c r="D13" s="12" t="s">
        <v>6</v>
      </c>
      <c r="E13" s="15">
        <f>R13</f>
        <v>80581.05</v>
      </c>
      <c r="F13" s="15">
        <f>((73.59*31)*3)</f>
        <v>6843.87</v>
      </c>
      <c r="G13" s="15">
        <f>((73.59*28)*3)</f>
        <v>6181.5599999999995</v>
      </c>
      <c r="H13" s="15">
        <f>((73.59*31)*3)</f>
        <v>6843.87</v>
      </c>
      <c r="I13" s="15">
        <f>((73.59*30)*3)</f>
        <v>6623.1</v>
      </c>
      <c r="J13" s="15">
        <f>((73.59*31)*3)</f>
        <v>6843.87</v>
      </c>
      <c r="K13" s="15">
        <f>((73.59*30)*3)</f>
        <v>6623.1</v>
      </c>
      <c r="L13" s="15">
        <f>((73.59*31)*3)</f>
        <v>6843.87</v>
      </c>
      <c r="M13" s="15">
        <f>((73.59*31)*3)</f>
        <v>6843.87</v>
      </c>
      <c r="N13" s="15">
        <f>((73.59*30)*3)</f>
        <v>6623.1</v>
      </c>
      <c r="O13" s="15">
        <f>((73.59*31)*3)</f>
        <v>6843.87</v>
      </c>
      <c r="P13" s="15">
        <f>((73.59*30)*3)</f>
        <v>6623.1</v>
      </c>
      <c r="Q13" s="15">
        <f>((73.59*31)*3)</f>
        <v>6843.87</v>
      </c>
      <c r="R13" s="15">
        <f>SUM(F13:Q13)</f>
        <v>80581.05</v>
      </c>
    </row>
    <row r="14" spans="1:19" ht="41.25" customHeight="1">
      <c r="A14" s="90"/>
      <c r="B14" s="34" t="s">
        <v>3</v>
      </c>
      <c r="C14" s="32"/>
      <c r="D14" s="32"/>
      <c r="E14" s="15">
        <f>R14</f>
        <v>841.54999999993015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15">
        <v>841.54999999993015</v>
      </c>
    </row>
    <row r="15" spans="1:19" ht="41.25" customHeight="1">
      <c r="A15" s="95" t="s">
        <v>8</v>
      </c>
      <c r="B15" s="95"/>
      <c r="C15" s="95"/>
      <c r="D15" s="35" t="s">
        <v>76</v>
      </c>
      <c r="E15" s="36">
        <f>SUM(E17:E21)</f>
        <v>357349</v>
      </c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</row>
    <row r="16" spans="1:19" ht="41.25" customHeight="1">
      <c r="A16" s="37" t="s">
        <v>9</v>
      </c>
      <c r="B16" s="38"/>
      <c r="C16" s="10">
        <f>SUM(C17:C20)</f>
        <v>14</v>
      </c>
      <c r="D16" s="68" t="s">
        <v>2</v>
      </c>
      <c r="E16" s="69">
        <f>SUM(E17:E20)</f>
        <v>356008.80000000005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/>
    </row>
    <row r="17" spans="1:18" ht="41.25" customHeight="1">
      <c r="A17" s="88"/>
      <c r="B17" s="11" t="s">
        <v>5</v>
      </c>
      <c r="C17" s="12">
        <v>9</v>
      </c>
      <c r="D17" s="12" t="s">
        <v>6</v>
      </c>
      <c r="E17" s="15">
        <f>R17</f>
        <v>234549.00000000003</v>
      </c>
      <c r="F17" s="15">
        <f>((71.4*31)*9)</f>
        <v>19920.600000000002</v>
      </c>
      <c r="G17" s="15">
        <f>((71.4*28)*9)</f>
        <v>17992.800000000003</v>
      </c>
      <c r="H17" s="15">
        <f>((71.4*31)*9)</f>
        <v>19920.600000000002</v>
      </c>
      <c r="I17" s="15">
        <f>((71.4*30)*9)</f>
        <v>19278</v>
      </c>
      <c r="J17" s="15">
        <f>((71.4*31)*9)</f>
        <v>19920.600000000002</v>
      </c>
      <c r="K17" s="15">
        <f>((71.4*30)*9)</f>
        <v>19278</v>
      </c>
      <c r="L17" s="15">
        <f>((71.4*31)*9)</f>
        <v>19920.600000000002</v>
      </c>
      <c r="M17" s="15">
        <f>((71.4*31)*9)</f>
        <v>19920.600000000002</v>
      </c>
      <c r="N17" s="15">
        <f>((71.4*30)*9)</f>
        <v>19278</v>
      </c>
      <c r="O17" s="15">
        <f>((71.4*31)*9)</f>
        <v>19920.600000000002</v>
      </c>
      <c r="P17" s="15">
        <f>((71.4*30)*9)</f>
        <v>19278</v>
      </c>
      <c r="Q17" s="15">
        <f>((71.4*31)*9)</f>
        <v>19920.600000000002</v>
      </c>
      <c r="R17" s="15">
        <f>F17+G17+H17+I17+J17+K17+L17+M17+N17+O17+P17+Q17</f>
        <v>234549.00000000003</v>
      </c>
    </row>
    <row r="18" spans="1:18" ht="41.25" customHeight="1">
      <c r="A18" s="89"/>
      <c r="B18" s="11" t="s">
        <v>5</v>
      </c>
      <c r="C18" s="12">
        <v>1</v>
      </c>
      <c r="D18" s="12" t="s">
        <v>10</v>
      </c>
      <c r="E18" s="15">
        <f>R18</f>
        <v>12923.4</v>
      </c>
      <c r="F18" s="15">
        <f>((71.4*31))</f>
        <v>2213.4</v>
      </c>
      <c r="G18" s="15">
        <f>71.4*28</f>
        <v>1999.2000000000003</v>
      </c>
      <c r="H18" s="15">
        <f>71.4*31</f>
        <v>2213.4</v>
      </c>
      <c r="I18" s="15">
        <f>71.4*30</f>
        <v>2142</v>
      </c>
      <c r="J18" s="15">
        <f>71.4*31</f>
        <v>2213.4</v>
      </c>
      <c r="K18" s="15">
        <f>71.4*30</f>
        <v>2142</v>
      </c>
      <c r="L18" s="15"/>
      <c r="M18" s="15"/>
      <c r="N18" s="15"/>
      <c r="O18" s="15"/>
      <c r="P18" s="15"/>
      <c r="Q18" s="15"/>
      <c r="R18" s="15">
        <f>SUM(F18:Q18)</f>
        <v>12923.4</v>
      </c>
    </row>
    <row r="19" spans="1:18" ht="41.25" customHeight="1">
      <c r="A19" s="89"/>
      <c r="B19" s="10" t="s">
        <v>7</v>
      </c>
      <c r="C19" s="12">
        <v>3</v>
      </c>
      <c r="D19" s="12" t="s">
        <v>6</v>
      </c>
      <c r="E19" s="15">
        <f>R19</f>
        <v>80581.05</v>
      </c>
      <c r="F19" s="15">
        <f>((73.59*31)*3)</f>
        <v>6843.87</v>
      </c>
      <c r="G19" s="15">
        <f>((73.59*28)*3)</f>
        <v>6181.5599999999995</v>
      </c>
      <c r="H19" s="15">
        <f>((73.59*31)*3)</f>
        <v>6843.87</v>
      </c>
      <c r="I19" s="15">
        <f>((73.59*30)*3)</f>
        <v>6623.1</v>
      </c>
      <c r="J19" s="15">
        <f>((73.59*31)*3)</f>
        <v>6843.87</v>
      </c>
      <c r="K19" s="15">
        <f>((73.59*30)*3)</f>
        <v>6623.1</v>
      </c>
      <c r="L19" s="15">
        <f>((73.59*31)*3)</f>
        <v>6843.87</v>
      </c>
      <c r="M19" s="15">
        <f>((73.59*31)*3)</f>
        <v>6843.87</v>
      </c>
      <c r="N19" s="15">
        <f>((73.59*30)*3)</f>
        <v>6623.1</v>
      </c>
      <c r="O19" s="15">
        <f>((73.59*31)*3)</f>
        <v>6843.87</v>
      </c>
      <c r="P19" s="15">
        <f>((73.59*30)*3)</f>
        <v>6623.1</v>
      </c>
      <c r="Q19" s="15">
        <f>((73.59*31)*3)</f>
        <v>6843.87</v>
      </c>
      <c r="R19" s="15">
        <f>SUM(F19:Q19)</f>
        <v>80581.05</v>
      </c>
    </row>
    <row r="20" spans="1:18" ht="41.25" customHeight="1">
      <c r="A20" s="89"/>
      <c r="B20" s="10" t="s">
        <v>11</v>
      </c>
      <c r="C20" s="12">
        <v>1</v>
      </c>
      <c r="D20" s="12" t="s">
        <v>10</v>
      </c>
      <c r="E20" s="39">
        <f>R20</f>
        <v>27955.350000000006</v>
      </c>
      <c r="F20" s="15">
        <f>((76.59*31))</f>
        <v>2374.29</v>
      </c>
      <c r="G20" s="15">
        <f>((76.59*28))</f>
        <v>2144.52</v>
      </c>
      <c r="H20" s="15">
        <f>((76.59*31))</f>
        <v>2374.29</v>
      </c>
      <c r="I20" s="15">
        <f>((76.59*30))</f>
        <v>2297.7000000000003</v>
      </c>
      <c r="J20" s="15">
        <f>((76.59*31))</f>
        <v>2374.29</v>
      </c>
      <c r="K20" s="15">
        <f>((76.59*30))</f>
        <v>2297.7000000000003</v>
      </c>
      <c r="L20" s="15">
        <f>((76.59*31))</f>
        <v>2374.29</v>
      </c>
      <c r="M20" s="15">
        <f>((76.59*31))</f>
        <v>2374.29</v>
      </c>
      <c r="N20" s="15">
        <f>((76.59*30))</f>
        <v>2297.7000000000003</v>
      </c>
      <c r="O20" s="15">
        <f>((76.59*31))</f>
        <v>2374.29</v>
      </c>
      <c r="P20" s="15">
        <f>((76.59*30))</f>
        <v>2297.7000000000003</v>
      </c>
      <c r="Q20" s="15">
        <f>((76.59*31))</f>
        <v>2374.29</v>
      </c>
      <c r="R20" s="15">
        <f>SUM(F20:Q20)</f>
        <v>27955.350000000006</v>
      </c>
    </row>
    <row r="21" spans="1:18" ht="41.25" customHeight="1">
      <c r="A21" s="90"/>
      <c r="B21" s="34" t="s">
        <v>3</v>
      </c>
      <c r="C21" s="1"/>
      <c r="D21" s="1"/>
      <c r="E21" s="39">
        <f>R21</f>
        <v>1340.1999999999534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>
        <v>1340.1999999999534</v>
      </c>
    </row>
    <row r="22" spans="1:18" ht="41.25" customHeight="1">
      <c r="A22" s="92" t="s">
        <v>12</v>
      </c>
      <c r="B22" s="93"/>
      <c r="C22" s="94"/>
      <c r="D22" s="35" t="s">
        <v>76</v>
      </c>
      <c r="E22" s="36">
        <f>SUM(E24:E28)</f>
        <v>231968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4"/>
      <c r="Q22" s="4"/>
      <c r="R22" s="5"/>
    </row>
    <row r="23" spans="1:18" ht="41.25" customHeight="1">
      <c r="A23" s="40" t="s">
        <v>13</v>
      </c>
      <c r="B23" s="38"/>
      <c r="C23" s="10">
        <f>SUM(C24:C27)</f>
        <v>9</v>
      </c>
      <c r="D23" s="70" t="s">
        <v>2</v>
      </c>
      <c r="E23" s="71">
        <f>SUM(E24:E27)</f>
        <v>231936.80000000002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</row>
    <row r="24" spans="1:18" ht="41.25" customHeight="1">
      <c r="A24" s="88"/>
      <c r="B24" s="11" t="s">
        <v>5</v>
      </c>
      <c r="C24" s="12">
        <v>4</v>
      </c>
      <c r="D24" s="12" t="s">
        <v>6</v>
      </c>
      <c r="E24" s="15">
        <v>104244</v>
      </c>
      <c r="F24" s="15">
        <f>((71.4*31)*4)</f>
        <v>8853.6</v>
      </c>
      <c r="G24" s="15">
        <f>((71.4*28)*4)</f>
        <v>7996.8000000000011</v>
      </c>
      <c r="H24" s="15">
        <f>((71.4*31)*4)</f>
        <v>8853.6</v>
      </c>
      <c r="I24" s="15">
        <f>((71.4*30)*4)</f>
        <v>8568</v>
      </c>
      <c r="J24" s="15">
        <f>((71.4*31)*4)</f>
        <v>8853.6</v>
      </c>
      <c r="K24" s="15">
        <f>((71.4*30)*4)</f>
        <v>8568</v>
      </c>
      <c r="L24" s="15">
        <f>((71.4*31)*4)</f>
        <v>8853.6</v>
      </c>
      <c r="M24" s="15">
        <f>((71.4*31)*4)</f>
        <v>8853.6</v>
      </c>
      <c r="N24" s="15">
        <f>((71.4*30)*4)</f>
        <v>8568</v>
      </c>
      <c r="O24" s="15">
        <f>((71.4*31)*4)</f>
        <v>8853.6</v>
      </c>
      <c r="P24" s="15">
        <f>((71.4*30)*4)</f>
        <v>8568</v>
      </c>
      <c r="Q24" s="15">
        <f>((71.4*31)*4)</f>
        <v>8853.6</v>
      </c>
      <c r="R24" s="15">
        <f>F24+G24+H24+I24+J24+K24+L24+M24+N24+O24+P24+Q24</f>
        <v>104244.00000000001</v>
      </c>
    </row>
    <row r="25" spans="1:18" ht="41.25" customHeight="1">
      <c r="A25" s="89"/>
      <c r="B25" s="11" t="s">
        <v>5</v>
      </c>
      <c r="C25" s="12">
        <v>1</v>
      </c>
      <c r="D25" s="12" t="s">
        <v>14</v>
      </c>
      <c r="E25" s="15">
        <v>19492.2</v>
      </c>
      <c r="F25" s="15">
        <f>((71.4*31))</f>
        <v>2213.4</v>
      </c>
      <c r="G25" s="15">
        <f>71.4*28</f>
        <v>1999.2000000000003</v>
      </c>
      <c r="H25" s="15">
        <f>71.4*31</f>
        <v>2213.4</v>
      </c>
      <c r="I25" s="15">
        <f>71.4*30</f>
        <v>2142</v>
      </c>
      <c r="J25" s="15">
        <f>71.4*31</f>
        <v>2213.4</v>
      </c>
      <c r="K25" s="15">
        <f>71.4*30</f>
        <v>2142</v>
      </c>
      <c r="L25" s="15">
        <f>71.4*31</f>
        <v>2213.4</v>
      </c>
      <c r="M25" s="15">
        <f>71.4*31</f>
        <v>2213.4</v>
      </c>
      <c r="N25" s="15">
        <f>71.4*30</f>
        <v>2142</v>
      </c>
      <c r="O25" s="15"/>
      <c r="P25" s="15"/>
      <c r="Q25" s="15"/>
      <c r="R25" s="15">
        <f>SUM(F25:Q25)</f>
        <v>19492.2</v>
      </c>
    </row>
    <row r="26" spans="1:18" ht="41.25" customHeight="1">
      <c r="A26" s="89"/>
      <c r="B26" s="10" t="s">
        <v>7</v>
      </c>
      <c r="C26" s="12">
        <v>2</v>
      </c>
      <c r="D26" s="12" t="s">
        <v>6</v>
      </c>
      <c r="E26" s="15">
        <f>R26</f>
        <v>53720.700000000012</v>
      </c>
      <c r="F26" s="15">
        <f>((73.59*31)*2)</f>
        <v>4562.58</v>
      </c>
      <c r="G26" s="15">
        <f>((73.59*28)*2)</f>
        <v>4121.04</v>
      </c>
      <c r="H26" s="15">
        <f>((73.59*31)*2)</f>
        <v>4562.58</v>
      </c>
      <c r="I26" s="15">
        <f>((73.59*30)*2)</f>
        <v>4415.4000000000005</v>
      </c>
      <c r="J26" s="15">
        <f>((73.59*31)*2)</f>
        <v>4562.58</v>
      </c>
      <c r="K26" s="15">
        <f>((73.59*30)*2)</f>
        <v>4415.4000000000005</v>
      </c>
      <c r="L26" s="15">
        <f>((73.59*31)*2)</f>
        <v>4562.58</v>
      </c>
      <c r="M26" s="15">
        <f>((73.59*31)*2)</f>
        <v>4562.58</v>
      </c>
      <c r="N26" s="15">
        <f>((73.59*30)*2)</f>
        <v>4415.4000000000005</v>
      </c>
      <c r="O26" s="15">
        <f>((73.59*31)*2)</f>
        <v>4562.58</v>
      </c>
      <c r="P26" s="15">
        <f>((73.59*30)*2)</f>
        <v>4415.4000000000005</v>
      </c>
      <c r="Q26" s="15">
        <f>((73.59*31)*2)</f>
        <v>4562.58</v>
      </c>
      <c r="R26" s="15">
        <f>SUM(F26:Q26)</f>
        <v>53720.700000000012</v>
      </c>
    </row>
    <row r="27" spans="1:18" ht="41.25" customHeight="1">
      <c r="A27" s="89"/>
      <c r="B27" s="10" t="s">
        <v>15</v>
      </c>
      <c r="C27" s="12">
        <v>2</v>
      </c>
      <c r="D27" s="12" t="s">
        <v>10</v>
      </c>
      <c r="E27" s="39">
        <v>54479.9</v>
      </c>
      <c r="F27" s="15">
        <f>((74.63*31)*2)</f>
        <v>4627.0599999999995</v>
      </c>
      <c r="G27" s="15">
        <f>((74.63*28)*2)</f>
        <v>4179.28</v>
      </c>
      <c r="H27" s="15">
        <f>((74.63*31)*2)</f>
        <v>4627.0599999999995</v>
      </c>
      <c r="I27" s="15">
        <f>((74.63*30)*2)</f>
        <v>4477.7999999999993</v>
      </c>
      <c r="J27" s="15">
        <f>((74.63*31)*2)</f>
        <v>4627.0599999999995</v>
      </c>
      <c r="K27" s="15">
        <f>((74.63*30)*2)</f>
        <v>4477.7999999999993</v>
      </c>
      <c r="L27" s="15">
        <f>((74.63*31)*2)</f>
        <v>4627.0599999999995</v>
      </c>
      <c r="M27" s="15">
        <f>((74.63*31)*2)</f>
        <v>4627.0599999999995</v>
      </c>
      <c r="N27" s="15">
        <f>((74.63*30)*2)</f>
        <v>4477.7999999999993</v>
      </c>
      <c r="O27" s="15">
        <f>((74.63*31)*2)</f>
        <v>4627.0599999999995</v>
      </c>
      <c r="P27" s="15">
        <f>((74.63*30)*2)</f>
        <v>4477.7999999999993</v>
      </c>
      <c r="Q27" s="15">
        <f>((74.63*31)*2)</f>
        <v>4627.0599999999995</v>
      </c>
      <c r="R27" s="15">
        <f>SUM(F27:Q27)</f>
        <v>54479.899999999994</v>
      </c>
    </row>
    <row r="28" spans="1:18" ht="41.25" customHeight="1">
      <c r="A28" s="90"/>
      <c r="B28" s="12" t="s">
        <v>3</v>
      </c>
      <c r="C28" s="45"/>
      <c r="D28" s="45"/>
      <c r="E28" s="46">
        <f>R28</f>
        <v>31.199999999982538</v>
      </c>
      <c r="F28" s="4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>
        <v>31.199999999982538</v>
      </c>
    </row>
    <row r="29" spans="1:18" ht="41.25" customHeight="1">
      <c r="A29" s="92" t="s">
        <v>16</v>
      </c>
      <c r="B29" s="93"/>
      <c r="C29" s="94"/>
      <c r="D29" s="35" t="s">
        <v>76</v>
      </c>
      <c r="E29" s="41">
        <f>SUM(E31:E33)</f>
        <v>426576.00000000012</v>
      </c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6"/>
    </row>
    <row r="30" spans="1:18" ht="41.25" customHeight="1">
      <c r="A30" s="40" t="s">
        <v>17</v>
      </c>
      <c r="B30" s="38"/>
      <c r="C30" s="10">
        <f>SUM(C31:C32)</f>
        <v>16</v>
      </c>
      <c r="D30" s="72" t="s">
        <v>2</v>
      </c>
      <c r="E30" s="73">
        <f>SUM(E31:E32)</f>
        <v>426568.2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</row>
    <row r="31" spans="1:18" ht="41.25" customHeight="1">
      <c r="A31" s="88"/>
      <c r="B31" s="11" t="s">
        <v>5</v>
      </c>
      <c r="C31" s="12">
        <v>4</v>
      </c>
      <c r="D31" s="12" t="s">
        <v>6</v>
      </c>
      <c r="E31" s="15">
        <v>104244</v>
      </c>
      <c r="F31" s="15">
        <f>((71.4*31)*4)</f>
        <v>8853.6</v>
      </c>
      <c r="G31" s="15">
        <f>((71.4*28)*4)</f>
        <v>7996.8000000000011</v>
      </c>
      <c r="H31" s="15">
        <f>((71.4*31)*4)</f>
        <v>8853.6</v>
      </c>
      <c r="I31" s="15">
        <f>((71.4*30)*4)</f>
        <v>8568</v>
      </c>
      <c r="J31" s="15">
        <f>((71.4*31)*4)</f>
        <v>8853.6</v>
      </c>
      <c r="K31" s="15">
        <f>((71.4*30)*4)</f>
        <v>8568</v>
      </c>
      <c r="L31" s="15">
        <f>((71.4*31)*4)</f>
        <v>8853.6</v>
      </c>
      <c r="M31" s="15">
        <f>((71.4*31)*4)</f>
        <v>8853.6</v>
      </c>
      <c r="N31" s="15">
        <f>((71.4*30)*4)</f>
        <v>8568</v>
      </c>
      <c r="O31" s="15">
        <f>((71.4*31)*4)</f>
        <v>8853.6</v>
      </c>
      <c r="P31" s="15">
        <f>((71.4*30)*4)</f>
        <v>8568</v>
      </c>
      <c r="Q31" s="15">
        <f>((71.4*31)*4)</f>
        <v>8853.6</v>
      </c>
      <c r="R31" s="15">
        <f>SUM(F31:Q31)</f>
        <v>104244.00000000001</v>
      </c>
    </row>
    <row r="32" spans="1:18" ht="41.25" customHeight="1">
      <c r="A32" s="89"/>
      <c r="B32" s="10" t="s">
        <v>7</v>
      </c>
      <c r="C32" s="12">
        <v>12</v>
      </c>
      <c r="D32" s="12" t="s">
        <v>6</v>
      </c>
      <c r="E32" s="15">
        <v>322324.2</v>
      </c>
      <c r="F32" s="15">
        <f>((73.59*31)*12)</f>
        <v>27375.48</v>
      </c>
      <c r="G32" s="15">
        <f>((73.59*28)*12)</f>
        <v>24726.239999999998</v>
      </c>
      <c r="H32" s="15">
        <f>((73.59*31)*12)</f>
        <v>27375.48</v>
      </c>
      <c r="I32" s="15">
        <f>((73.59*30)*12)</f>
        <v>26492.400000000001</v>
      </c>
      <c r="J32" s="15">
        <f>((73.59*31)*12)</f>
        <v>27375.48</v>
      </c>
      <c r="K32" s="15">
        <f>((73.59*30)*12)</f>
        <v>26492.400000000001</v>
      </c>
      <c r="L32" s="15">
        <f>((73.59*31)*12)</f>
        <v>27375.48</v>
      </c>
      <c r="M32" s="15">
        <f>((73.59*31)*12)</f>
        <v>27375.48</v>
      </c>
      <c r="N32" s="15">
        <f>((73.59*30)*12)</f>
        <v>26492.400000000001</v>
      </c>
      <c r="O32" s="15">
        <f>((73.59*31)*12)</f>
        <v>27375.48</v>
      </c>
      <c r="P32" s="15">
        <f>((73.59*30)*12)</f>
        <v>26492.400000000001</v>
      </c>
      <c r="Q32" s="15">
        <f>((73.59*31)*12)</f>
        <v>27375.48</v>
      </c>
      <c r="R32" s="15">
        <f>SUM(F32:Q32)</f>
        <v>322324.2</v>
      </c>
    </row>
    <row r="33" spans="1:18" ht="41.25" customHeight="1">
      <c r="A33" s="90"/>
      <c r="B33" s="12" t="s">
        <v>3</v>
      </c>
      <c r="C33" s="43"/>
      <c r="D33" s="45"/>
      <c r="E33" s="46">
        <f>R33</f>
        <v>7.8000000001047738</v>
      </c>
      <c r="F33" s="4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>
        <v>7.8000000001047738</v>
      </c>
    </row>
    <row r="34" spans="1:18" ht="41.25" customHeight="1">
      <c r="A34" s="92" t="s">
        <v>18</v>
      </c>
      <c r="B34" s="93"/>
      <c r="C34" s="94"/>
      <c r="D34" s="47" t="s">
        <v>76</v>
      </c>
      <c r="E34" s="41">
        <f>SUM(E36:E39)</f>
        <v>107392.00000000001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6"/>
    </row>
    <row r="35" spans="1:18" ht="41.25" customHeight="1">
      <c r="A35" s="40" t="s">
        <v>19</v>
      </c>
      <c r="B35" s="38"/>
      <c r="C35" s="10">
        <f>SUM(C36:C38)</f>
        <v>4</v>
      </c>
      <c r="D35" s="72" t="s">
        <v>2</v>
      </c>
      <c r="E35" s="73">
        <f>SUM(E36:E38)</f>
        <v>107390.30000000002</v>
      </c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</row>
    <row r="36" spans="1:18" ht="41.25" customHeight="1">
      <c r="A36" s="88"/>
      <c r="B36" s="11" t="s">
        <v>5</v>
      </c>
      <c r="C36" s="12">
        <v>1</v>
      </c>
      <c r="D36" s="12" t="s">
        <v>6</v>
      </c>
      <c r="E36" s="15">
        <f>R36</f>
        <v>26061.000000000004</v>
      </c>
      <c r="F36" s="15">
        <f>((71.4*31)*$C$36)</f>
        <v>2213.4</v>
      </c>
      <c r="G36" s="15">
        <f>((71.4*28)*$C$36)</f>
        <v>1999.2000000000003</v>
      </c>
      <c r="H36" s="15">
        <f>((71.4*31)*$C$36)</f>
        <v>2213.4</v>
      </c>
      <c r="I36" s="15">
        <f>((71.4*30)*$C$36)</f>
        <v>2142</v>
      </c>
      <c r="J36" s="15">
        <f>((71.4*31)*$C$36)</f>
        <v>2213.4</v>
      </c>
      <c r="K36" s="15">
        <f>((71.4*30)*$C$36)</f>
        <v>2142</v>
      </c>
      <c r="L36" s="15">
        <f>((71.4*31)*$C$36)</f>
        <v>2213.4</v>
      </c>
      <c r="M36" s="15">
        <f>((71.4*31)*$C$36)</f>
        <v>2213.4</v>
      </c>
      <c r="N36" s="15">
        <f>((71.4*30)*$C$36)</f>
        <v>2142</v>
      </c>
      <c r="O36" s="15">
        <f>((71.4*31)*$C$36)</f>
        <v>2213.4</v>
      </c>
      <c r="P36" s="15">
        <f>((71.4*30)*$C$36)</f>
        <v>2142</v>
      </c>
      <c r="Q36" s="15">
        <f>((71.4*31)*$C$36)</f>
        <v>2213.4</v>
      </c>
      <c r="R36" s="15">
        <f>SUM(F36:Q36)</f>
        <v>26061.000000000004</v>
      </c>
    </row>
    <row r="37" spans="1:18" ht="41.25" customHeight="1">
      <c r="A37" s="89"/>
      <c r="B37" s="10" t="s">
        <v>7</v>
      </c>
      <c r="C37" s="12">
        <v>2</v>
      </c>
      <c r="D37" s="12" t="s">
        <v>6</v>
      </c>
      <c r="E37" s="15">
        <f>R37</f>
        <v>53720.700000000012</v>
      </c>
      <c r="F37" s="15">
        <f>((73.59*31)*$C$37)</f>
        <v>4562.58</v>
      </c>
      <c r="G37" s="15">
        <f>((73.59*28)*$C$37)</f>
        <v>4121.04</v>
      </c>
      <c r="H37" s="15">
        <f>((73.59*31)*$C$37)</f>
        <v>4562.58</v>
      </c>
      <c r="I37" s="15">
        <f>((73.59*30)*$C$37)</f>
        <v>4415.4000000000005</v>
      </c>
      <c r="J37" s="15">
        <f>((73.59*31)*$C$37)</f>
        <v>4562.58</v>
      </c>
      <c r="K37" s="15">
        <f>((73.59*30)*$C$37)</f>
        <v>4415.4000000000005</v>
      </c>
      <c r="L37" s="15">
        <f>((73.59*31)*$C$37)</f>
        <v>4562.58</v>
      </c>
      <c r="M37" s="15">
        <f>((73.59*31)*$C$37)</f>
        <v>4562.58</v>
      </c>
      <c r="N37" s="15">
        <f>((73.59*30)*$C$37)</f>
        <v>4415.4000000000005</v>
      </c>
      <c r="O37" s="15">
        <f>((73.59*31)*$C$37)</f>
        <v>4562.58</v>
      </c>
      <c r="P37" s="15">
        <f>((73.59*30)*$C$37)</f>
        <v>4415.4000000000005</v>
      </c>
      <c r="Q37" s="15">
        <f>((73.59*31)*$C$37)</f>
        <v>4562.58</v>
      </c>
      <c r="R37" s="15">
        <f>SUM(F37:Q37)</f>
        <v>53720.700000000012</v>
      </c>
    </row>
    <row r="38" spans="1:18" ht="41.25" customHeight="1">
      <c r="A38" s="89"/>
      <c r="B38" s="10" t="s">
        <v>20</v>
      </c>
      <c r="C38" s="12">
        <v>1</v>
      </c>
      <c r="D38" s="12" t="s">
        <v>6</v>
      </c>
      <c r="E38" s="39">
        <f>R38</f>
        <v>27608.600000000002</v>
      </c>
      <c r="F38" s="15">
        <f>((75.64*31)*$C$38)</f>
        <v>2344.84</v>
      </c>
      <c r="G38" s="15">
        <f>((75.64*28)*$C$38)</f>
        <v>2117.92</v>
      </c>
      <c r="H38" s="15">
        <f>((75.64*31)*$C$38)</f>
        <v>2344.84</v>
      </c>
      <c r="I38" s="15">
        <f>((75.64*30)*$C$38)</f>
        <v>2269.1999999999998</v>
      </c>
      <c r="J38" s="15">
        <f>((75.64*31)*$C$38)</f>
        <v>2344.84</v>
      </c>
      <c r="K38" s="15">
        <f>((75.64*30)*$C$38)</f>
        <v>2269.1999999999998</v>
      </c>
      <c r="L38" s="15">
        <f>((75.64*31)*$C$38)</f>
        <v>2344.84</v>
      </c>
      <c r="M38" s="15">
        <f>((75.64*31)*$C$38)</f>
        <v>2344.84</v>
      </c>
      <c r="N38" s="15">
        <f>((75.64*30)*$C$38)</f>
        <v>2269.1999999999998</v>
      </c>
      <c r="O38" s="15">
        <f>((75.64*31)*$C$38)</f>
        <v>2344.84</v>
      </c>
      <c r="P38" s="15">
        <f>((75.64*30)*$C$38)</f>
        <v>2269.1999999999998</v>
      </c>
      <c r="Q38" s="15">
        <f>((75.64*31)*$C$38)</f>
        <v>2344.84</v>
      </c>
      <c r="R38" s="15">
        <f>SUM(F38:Q38)</f>
        <v>27608.600000000002</v>
      </c>
    </row>
    <row r="39" spans="1:18" ht="41.25" customHeight="1">
      <c r="A39" s="90"/>
      <c r="B39" s="12" t="s">
        <v>3</v>
      </c>
      <c r="C39" s="45"/>
      <c r="D39" s="45"/>
      <c r="E39" s="46">
        <f>R39</f>
        <v>1.7</v>
      </c>
      <c r="F39" s="4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>
        <v>1.7</v>
      </c>
    </row>
    <row r="40" spans="1:18" ht="41.25" customHeight="1">
      <c r="A40" s="92" t="s">
        <v>21</v>
      </c>
      <c r="B40" s="93"/>
      <c r="C40" s="94"/>
      <c r="D40" s="35" t="s">
        <v>76</v>
      </c>
      <c r="E40" s="41">
        <f>SUM(E42:E44)</f>
        <v>293870.99999999994</v>
      </c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16"/>
    </row>
    <row r="41" spans="1:18" ht="41.25" customHeight="1">
      <c r="A41" s="40" t="s">
        <v>22</v>
      </c>
      <c r="B41" s="38"/>
      <c r="C41" s="10">
        <f>SUM(C42:C43)</f>
        <v>11</v>
      </c>
      <c r="D41" s="72" t="s">
        <v>2</v>
      </c>
      <c r="E41" s="73">
        <f>SUM(E42:E43)</f>
        <v>293865.14999999997</v>
      </c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1:18" ht="41.25" customHeight="1">
      <c r="A42" s="88"/>
      <c r="B42" s="11" t="s">
        <v>5</v>
      </c>
      <c r="C42" s="12">
        <v>2</v>
      </c>
      <c r="D42" s="12" t="s">
        <v>6</v>
      </c>
      <c r="E42" s="15">
        <f>R42</f>
        <v>52122.000000000007</v>
      </c>
      <c r="F42" s="15">
        <f>((71.4*31)*C$42)</f>
        <v>4426.8</v>
      </c>
      <c r="G42" s="15">
        <f>((71.4*28)*C$42)</f>
        <v>3998.4000000000005</v>
      </c>
      <c r="H42" s="15">
        <f>((71.4*31)*$C42)</f>
        <v>4426.8</v>
      </c>
      <c r="I42" s="15">
        <f>((71.4*30)*C$42)</f>
        <v>4284</v>
      </c>
      <c r="J42" s="15">
        <f>((71.4*31)*C$42)</f>
        <v>4426.8</v>
      </c>
      <c r="K42" s="15">
        <f>((71.4*30)*C$42)</f>
        <v>4284</v>
      </c>
      <c r="L42" s="15">
        <f>((71.4*31)*C$42)</f>
        <v>4426.8</v>
      </c>
      <c r="M42" s="15">
        <f>((71.4*31)*C$42)</f>
        <v>4426.8</v>
      </c>
      <c r="N42" s="15">
        <f>((71.4*30)*C$42)</f>
        <v>4284</v>
      </c>
      <c r="O42" s="15">
        <f>((71.4*31)*C$42)</f>
        <v>4426.8</v>
      </c>
      <c r="P42" s="15">
        <f>((71.4*30)*C$42)</f>
        <v>4284</v>
      </c>
      <c r="Q42" s="15">
        <f>((71.4*31)*C$42)</f>
        <v>4426.8</v>
      </c>
      <c r="R42" s="15">
        <f>SUM(F42:Q42)</f>
        <v>52122.000000000007</v>
      </c>
    </row>
    <row r="43" spans="1:18" ht="41.25" customHeight="1">
      <c r="A43" s="89"/>
      <c r="B43" s="10" t="s">
        <v>7</v>
      </c>
      <c r="C43" s="12">
        <v>9</v>
      </c>
      <c r="D43" s="12" t="s">
        <v>6</v>
      </c>
      <c r="E43" s="15">
        <f>R43</f>
        <v>241743.14999999997</v>
      </c>
      <c r="F43" s="15">
        <f>((73.59*31)*C$43)</f>
        <v>20531.61</v>
      </c>
      <c r="G43" s="15">
        <f>((73.59*28)*$C$43)</f>
        <v>18544.68</v>
      </c>
      <c r="H43" s="15">
        <f>((73.59*31)*$C$43)</f>
        <v>20531.61</v>
      </c>
      <c r="I43" s="15">
        <f>((73.59*30)*$C$43)</f>
        <v>19869.300000000003</v>
      </c>
      <c r="J43" s="15">
        <f>((73.59*31)*$C$43)</f>
        <v>20531.61</v>
      </c>
      <c r="K43" s="15">
        <f>((73.59*30)*$C$43)</f>
        <v>19869.300000000003</v>
      </c>
      <c r="L43" s="15">
        <f>((73.59*31)*$C$43)</f>
        <v>20531.61</v>
      </c>
      <c r="M43" s="15">
        <f>((73.59*31)*$C$43)</f>
        <v>20531.61</v>
      </c>
      <c r="N43" s="15">
        <f>((73.59*30)*$C$43)</f>
        <v>19869.300000000003</v>
      </c>
      <c r="O43" s="15">
        <f>((73.59*31)*$C$43)</f>
        <v>20531.61</v>
      </c>
      <c r="P43" s="15">
        <f>((73.59*30)*$C$43)</f>
        <v>19869.300000000003</v>
      </c>
      <c r="Q43" s="15">
        <f>((73.59*31)*$C$43)</f>
        <v>20531.61</v>
      </c>
      <c r="R43" s="15">
        <f>SUM(F43:Q43)</f>
        <v>241743.14999999997</v>
      </c>
    </row>
    <row r="44" spans="1:18" ht="41.25" customHeight="1">
      <c r="A44" s="90"/>
      <c r="B44" s="12" t="s">
        <v>3</v>
      </c>
      <c r="C44" s="45"/>
      <c r="D44" s="45"/>
      <c r="E44" s="46">
        <f>R44</f>
        <v>5.85</v>
      </c>
      <c r="F44" s="45"/>
      <c r="G44" s="4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>
        <v>5.85</v>
      </c>
    </row>
    <row r="45" spans="1:18" ht="41.25" customHeight="1">
      <c r="A45" s="92" t="s">
        <v>23</v>
      </c>
      <c r="B45" s="93"/>
      <c r="C45" s="94"/>
      <c r="D45" s="35" t="s">
        <v>76</v>
      </c>
      <c r="E45" s="41">
        <f>SUM(E47:E50)</f>
        <v>333393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16"/>
    </row>
    <row r="46" spans="1:18" ht="41.25" customHeight="1">
      <c r="A46" s="40" t="s">
        <v>24</v>
      </c>
      <c r="B46" s="38"/>
      <c r="C46" s="10">
        <f>SUM(C47:C49)</f>
        <v>13</v>
      </c>
      <c r="D46" s="72" t="s">
        <v>2</v>
      </c>
      <c r="E46" s="73">
        <f>SUM(E47:E49)</f>
        <v>331837.59000000003</v>
      </c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1:18" ht="41.25" customHeight="1">
      <c r="A47" s="88"/>
      <c r="B47" s="11" t="s">
        <v>5</v>
      </c>
      <c r="C47" s="12">
        <v>2</v>
      </c>
      <c r="D47" s="12" t="s">
        <v>6</v>
      </c>
      <c r="E47" s="15">
        <f>R47</f>
        <v>52122.000000000007</v>
      </c>
      <c r="F47" s="15">
        <f>((71.4*31)*C$47)</f>
        <v>4426.8</v>
      </c>
      <c r="G47" s="15">
        <f>((71.4*28)*C$47)</f>
        <v>3998.4000000000005</v>
      </c>
      <c r="H47" s="15">
        <f>((71.4*31)*C47)</f>
        <v>4426.8</v>
      </c>
      <c r="I47" s="15">
        <f>((71.4*30)*C$47)</f>
        <v>4284</v>
      </c>
      <c r="J47" s="15">
        <f>((71.4*31)*C$47)</f>
        <v>4426.8</v>
      </c>
      <c r="K47" s="15">
        <f>((71.4*30)*C$47)</f>
        <v>4284</v>
      </c>
      <c r="L47" s="15">
        <f>((71.4*31)*C$47)</f>
        <v>4426.8</v>
      </c>
      <c r="M47" s="15">
        <f>((71.4*31)*C$47)</f>
        <v>4426.8</v>
      </c>
      <c r="N47" s="15">
        <f>((71.4*30)*C$47)</f>
        <v>4284</v>
      </c>
      <c r="O47" s="15">
        <f>((71.4*31)*C$47)</f>
        <v>4426.8</v>
      </c>
      <c r="P47" s="15">
        <f>((71.4*30)*C$47)</f>
        <v>4284</v>
      </c>
      <c r="Q47" s="15">
        <f>((71.4*31)*C$47)</f>
        <v>4426.8</v>
      </c>
      <c r="R47" s="15">
        <f>SUM(F47:Q47)</f>
        <v>52122.000000000007</v>
      </c>
    </row>
    <row r="48" spans="1:18" ht="41.25" customHeight="1">
      <c r="A48" s="89"/>
      <c r="B48" s="10" t="s">
        <v>7</v>
      </c>
      <c r="C48" s="12">
        <v>10</v>
      </c>
      <c r="D48" s="12" t="s">
        <v>6</v>
      </c>
      <c r="E48" s="15">
        <f>R48</f>
        <v>268603.5</v>
      </c>
      <c r="F48" s="15">
        <f>((73.59*31)*C$48)</f>
        <v>22812.9</v>
      </c>
      <c r="G48" s="15">
        <f>((73.59*28)*$C$48)</f>
        <v>20605.2</v>
      </c>
      <c r="H48" s="15">
        <f>((73.59*31)*$C$48)</f>
        <v>22812.9</v>
      </c>
      <c r="I48" s="15">
        <f>((73.59*30)*$C$48)</f>
        <v>22077.000000000004</v>
      </c>
      <c r="J48" s="15">
        <f>((73.59*31)*$C$48)</f>
        <v>22812.9</v>
      </c>
      <c r="K48" s="15">
        <f>((73.59*30)*$C$48)</f>
        <v>22077.000000000004</v>
      </c>
      <c r="L48" s="15">
        <f>((73.59*31)*$C$48)</f>
        <v>22812.9</v>
      </c>
      <c r="M48" s="15">
        <f>((73.59*31)*$C$48)</f>
        <v>22812.9</v>
      </c>
      <c r="N48" s="15">
        <f>((73.59*30)*$C$48)</f>
        <v>22077.000000000004</v>
      </c>
      <c r="O48" s="15">
        <f>((73.59*31)*$C$48)</f>
        <v>22812.9</v>
      </c>
      <c r="P48" s="15">
        <f>((73.59*30)*$C$48)</f>
        <v>22077.000000000004</v>
      </c>
      <c r="Q48" s="15">
        <f>((73.59*31)*$C$48)</f>
        <v>22812.9</v>
      </c>
      <c r="R48" s="15">
        <f>SUM(F48:Q48)</f>
        <v>268603.5</v>
      </c>
    </row>
    <row r="49" spans="1:19" ht="41.25" customHeight="1">
      <c r="A49" s="89"/>
      <c r="B49" s="10" t="s">
        <v>7</v>
      </c>
      <c r="C49" s="12">
        <v>1</v>
      </c>
      <c r="D49" s="12" t="s">
        <v>25</v>
      </c>
      <c r="E49" s="15">
        <f>R49</f>
        <v>11112.09</v>
      </c>
      <c r="F49" s="15">
        <f>((73.59*31)*C$49)</f>
        <v>2281.29</v>
      </c>
      <c r="G49" s="15">
        <f>((73.59*28)*$C$49)</f>
        <v>2060.52</v>
      </c>
      <c r="H49" s="15">
        <f>((73.59*31)*$C$49)</f>
        <v>2281.29</v>
      </c>
      <c r="I49" s="15">
        <f>((73.59*30)*$C$49)</f>
        <v>2207.7000000000003</v>
      </c>
      <c r="J49" s="15">
        <f>((73.59*31)*$C$49)</f>
        <v>2281.29</v>
      </c>
      <c r="K49" s="15"/>
      <c r="L49" s="15"/>
      <c r="M49" s="15"/>
      <c r="N49" s="15"/>
      <c r="O49" s="15"/>
      <c r="P49" s="15"/>
      <c r="Q49" s="15"/>
      <c r="R49" s="15">
        <f>SUM(F49:Q49)</f>
        <v>11112.09</v>
      </c>
    </row>
    <row r="50" spans="1:19" ht="41.25" customHeight="1">
      <c r="A50" s="90"/>
      <c r="B50" s="12" t="s">
        <v>3</v>
      </c>
      <c r="C50" s="43"/>
      <c r="D50" s="45"/>
      <c r="E50" s="50">
        <f>R50</f>
        <v>1555.4099999999744</v>
      </c>
      <c r="F50" s="45"/>
      <c r="G50" s="45"/>
      <c r="H50" s="45"/>
      <c r="I50" s="14"/>
      <c r="J50" s="14"/>
      <c r="K50" s="14"/>
      <c r="L50" s="14"/>
      <c r="M50" s="14"/>
      <c r="N50" s="14"/>
      <c r="O50" s="14"/>
      <c r="P50" s="14"/>
      <c r="Q50" s="14"/>
      <c r="R50" s="15">
        <v>1555.4099999999744</v>
      </c>
    </row>
    <row r="51" spans="1:19" ht="41.25" customHeight="1">
      <c r="A51" s="92" t="s">
        <v>26</v>
      </c>
      <c r="B51" s="93"/>
      <c r="C51" s="94"/>
      <c r="D51" s="35" t="s">
        <v>76</v>
      </c>
      <c r="E51" s="41">
        <f>SUM(E53:E55)</f>
        <v>133000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6"/>
    </row>
    <row r="52" spans="1:19" ht="41.25" customHeight="1">
      <c r="A52" s="40" t="s">
        <v>27</v>
      </c>
      <c r="B52" s="40"/>
      <c r="C52" s="10">
        <f>SUM(C53:C54)</f>
        <v>5</v>
      </c>
      <c r="D52" s="72" t="s">
        <v>2</v>
      </c>
      <c r="E52" s="73">
        <f>SUM(E53:E54)</f>
        <v>132703.05000000002</v>
      </c>
      <c r="F52" s="17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/>
    </row>
    <row r="53" spans="1:19" ht="41.25" customHeight="1">
      <c r="A53" s="51"/>
      <c r="B53" s="11" t="s">
        <v>5</v>
      </c>
      <c r="C53" s="12">
        <v>2</v>
      </c>
      <c r="D53" s="12" t="s">
        <v>6</v>
      </c>
      <c r="E53" s="15">
        <f>R53</f>
        <v>52122.000000000007</v>
      </c>
      <c r="F53" s="15">
        <f>((71.4*31)*C$53)</f>
        <v>4426.8</v>
      </c>
      <c r="G53" s="15">
        <f>((71.4*28)*C$53)</f>
        <v>3998.4000000000005</v>
      </c>
      <c r="H53" s="15">
        <f>((71.4*31)*C53)</f>
        <v>4426.8</v>
      </c>
      <c r="I53" s="15">
        <f>((71.4*30)*C$53)</f>
        <v>4284</v>
      </c>
      <c r="J53" s="15">
        <f>((71.4*31)*C$53)</f>
        <v>4426.8</v>
      </c>
      <c r="K53" s="15">
        <f>((71.4*30)*C$53)</f>
        <v>4284</v>
      </c>
      <c r="L53" s="15">
        <f>((71.4*31)*C$53)</f>
        <v>4426.8</v>
      </c>
      <c r="M53" s="15">
        <f>((71.4*31)*C$53)</f>
        <v>4426.8</v>
      </c>
      <c r="N53" s="15">
        <f>((71.4*30)*C$53)</f>
        <v>4284</v>
      </c>
      <c r="O53" s="15">
        <f>((71.4*31)*C$53)</f>
        <v>4426.8</v>
      </c>
      <c r="P53" s="15">
        <f>((71.4*30)*C$53)</f>
        <v>4284</v>
      </c>
      <c r="Q53" s="15">
        <f>((71.4*31)*C$53)</f>
        <v>4426.8</v>
      </c>
      <c r="R53" s="15">
        <f>SUM(F53:Q53)</f>
        <v>52122.000000000007</v>
      </c>
    </row>
    <row r="54" spans="1:19" ht="41.25" customHeight="1">
      <c r="A54" s="52"/>
      <c r="B54" s="10" t="s">
        <v>7</v>
      </c>
      <c r="C54" s="12">
        <v>3</v>
      </c>
      <c r="D54" s="12" t="s">
        <v>6</v>
      </c>
      <c r="E54" s="15">
        <f>R54</f>
        <v>80581.05</v>
      </c>
      <c r="F54" s="15">
        <f>((73.59*31)*C$54)</f>
        <v>6843.87</v>
      </c>
      <c r="G54" s="15">
        <f>((73.59*28)*$C$54)</f>
        <v>6181.5599999999995</v>
      </c>
      <c r="H54" s="15">
        <f>((73.59*31)*$C$54)</f>
        <v>6843.87</v>
      </c>
      <c r="I54" s="15">
        <f>((73.59*30)*$C$54)</f>
        <v>6623.1</v>
      </c>
      <c r="J54" s="15">
        <f>((73.59*31)*$C$54)</f>
        <v>6843.87</v>
      </c>
      <c r="K54" s="15">
        <f>((73.59*30)*$C$54)</f>
        <v>6623.1</v>
      </c>
      <c r="L54" s="15">
        <f>((73.59*31)*$C$54)</f>
        <v>6843.87</v>
      </c>
      <c r="M54" s="15">
        <f>((73.59*31)*$C$54)</f>
        <v>6843.87</v>
      </c>
      <c r="N54" s="15">
        <f>((73.59*30)*$C$54)</f>
        <v>6623.1</v>
      </c>
      <c r="O54" s="15">
        <f>((73.59*31)*$C$54)</f>
        <v>6843.87</v>
      </c>
      <c r="P54" s="15">
        <f>((73.59*30)*$C$54)</f>
        <v>6623.1</v>
      </c>
      <c r="Q54" s="15">
        <f>((73.59*31)*$C$54)</f>
        <v>6843.87</v>
      </c>
      <c r="R54" s="15">
        <f>SUM(F54:Q54)</f>
        <v>80581.05</v>
      </c>
    </row>
    <row r="55" spans="1:19" ht="41.25" customHeight="1">
      <c r="A55" s="53"/>
      <c r="B55" s="12" t="s">
        <v>3</v>
      </c>
      <c r="C55" s="43"/>
      <c r="D55" s="45"/>
      <c r="E55" s="46">
        <f>R55</f>
        <v>296.94999999998254</v>
      </c>
      <c r="F55" s="45"/>
      <c r="G55" s="4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>
        <v>296.94999999998254</v>
      </c>
    </row>
    <row r="56" spans="1:19" ht="41.25" customHeight="1">
      <c r="A56" s="92" t="s">
        <v>28</v>
      </c>
      <c r="B56" s="93"/>
      <c r="C56" s="94"/>
      <c r="D56" s="47" t="s">
        <v>76</v>
      </c>
      <c r="E56" s="41">
        <f>SUM(E58:E64)</f>
        <v>3678031.9999999958</v>
      </c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6"/>
    </row>
    <row r="57" spans="1:19" ht="41.25" customHeight="1">
      <c r="A57" s="40" t="s">
        <v>29</v>
      </c>
      <c r="B57" s="40"/>
      <c r="C57" s="11">
        <f>SUM(C58:C63)</f>
        <v>140</v>
      </c>
      <c r="D57" s="72" t="s">
        <v>2</v>
      </c>
      <c r="E57" s="73">
        <f>SUM(E58:E63)</f>
        <v>3676441.5500000003</v>
      </c>
      <c r="F57" s="17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</row>
    <row r="58" spans="1:19" ht="41.25" customHeight="1">
      <c r="A58" s="51"/>
      <c r="B58" s="11" t="s">
        <v>5</v>
      </c>
      <c r="C58" s="12">
        <v>31</v>
      </c>
      <c r="D58" s="12" t="s">
        <v>6</v>
      </c>
      <c r="E58" s="15">
        <f t="shared" ref="E58:E63" si="0">R58</f>
        <v>807891.00000000012</v>
      </c>
      <c r="F58" s="15">
        <f>((71.4*31)*C$58)</f>
        <v>68615.400000000009</v>
      </c>
      <c r="G58" s="15">
        <f>((71.4*28)*C$58)</f>
        <v>61975.200000000012</v>
      </c>
      <c r="H58" s="15">
        <f>((71.4*31)*C58)</f>
        <v>68615.400000000009</v>
      </c>
      <c r="I58" s="15">
        <f>((71.4*30)*C58)</f>
        <v>66402</v>
      </c>
      <c r="J58" s="15">
        <f>((71.4*31)*C$58)</f>
        <v>68615.400000000009</v>
      </c>
      <c r="K58" s="15">
        <f>((71.4*30)*C$58)</f>
        <v>66402</v>
      </c>
      <c r="L58" s="15">
        <f>((71.4*31)*C$58)</f>
        <v>68615.400000000009</v>
      </c>
      <c r="M58" s="15">
        <f>((71.4*31)*C$58)</f>
        <v>68615.400000000009</v>
      </c>
      <c r="N58" s="15">
        <f>((71.4*30)*C$58)</f>
        <v>66402</v>
      </c>
      <c r="O58" s="15">
        <f>((71.4*31)*C$58)</f>
        <v>68615.400000000009</v>
      </c>
      <c r="P58" s="15">
        <f>((71.4*30)*C$58)</f>
        <v>66402</v>
      </c>
      <c r="Q58" s="15">
        <f>((71.4*31)*C$58)</f>
        <v>68615.400000000009</v>
      </c>
      <c r="R58" s="15">
        <f t="shared" ref="R58:R63" si="1">SUM(F58:Q58)</f>
        <v>807891.00000000012</v>
      </c>
    </row>
    <row r="59" spans="1:19" ht="41.25" customHeight="1">
      <c r="A59" s="52"/>
      <c r="B59" s="10" t="s">
        <v>7</v>
      </c>
      <c r="C59" s="12">
        <v>91</v>
      </c>
      <c r="D59" s="12" t="s">
        <v>6</v>
      </c>
      <c r="E59" s="15">
        <f t="shared" si="0"/>
        <v>2444291.85</v>
      </c>
      <c r="F59" s="15">
        <f>((73.59*31)*C$59)</f>
        <v>207597.38999999998</v>
      </c>
      <c r="G59" s="15">
        <f>((73.59*28)*$C$59)</f>
        <v>187507.32</v>
      </c>
      <c r="H59" s="15">
        <f>((73.59*31)*$C$59)</f>
        <v>207597.38999999998</v>
      </c>
      <c r="I59" s="15">
        <f>((73.59*30)*$C$59)</f>
        <v>200900.7</v>
      </c>
      <c r="J59" s="15">
        <f>((73.59*31)*$C$59)</f>
        <v>207597.38999999998</v>
      </c>
      <c r="K59" s="15">
        <f>((73.59*30)*$C$59)</f>
        <v>200900.7</v>
      </c>
      <c r="L59" s="15">
        <f>((73.59*31)*$C$59)</f>
        <v>207597.38999999998</v>
      </c>
      <c r="M59" s="15">
        <f>((73.59*31)*$C$59)</f>
        <v>207597.38999999998</v>
      </c>
      <c r="N59" s="15">
        <f>((73.59*30)*$C$59)</f>
        <v>200900.7</v>
      </c>
      <c r="O59" s="15">
        <f>((73.59*31)*$C$59)</f>
        <v>207597.38999999998</v>
      </c>
      <c r="P59" s="15">
        <f>((73.59*30)*$C$59)</f>
        <v>200900.7</v>
      </c>
      <c r="Q59" s="15">
        <f>((73.59*31)*$C$59)</f>
        <v>207597.38999999998</v>
      </c>
      <c r="R59" s="15">
        <f t="shared" si="1"/>
        <v>2444291.85</v>
      </c>
    </row>
    <row r="60" spans="1:19" ht="41.25" customHeight="1">
      <c r="A60" s="52"/>
      <c r="B60" s="10" t="s">
        <v>7</v>
      </c>
      <c r="C60" s="12">
        <v>10</v>
      </c>
      <c r="D60" s="12" t="s">
        <v>30</v>
      </c>
      <c r="E60" s="15">
        <f t="shared" si="0"/>
        <v>245790.59999999998</v>
      </c>
      <c r="F60" s="15"/>
      <c r="G60" s="15">
        <f>((73.59*28)*$C$60)</f>
        <v>20605.2</v>
      </c>
      <c r="H60" s="15">
        <f>((73.59*31)*$C$60)</f>
        <v>22812.9</v>
      </c>
      <c r="I60" s="15">
        <f>((73.59*30)*$C$60)</f>
        <v>22077.000000000004</v>
      </c>
      <c r="J60" s="15">
        <f>((73.59*31)*$C$60)</f>
        <v>22812.9</v>
      </c>
      <c r="K60" s="15">
        <f>((73.59*30)*$C$60)</f>
        <v>22077.000000000004</v>
      </c>
      <c r="L60" s="15">
        <f>((73.59*31)*$C$60)</f>
        <v>22812.9</v>
      </c>
      <c r="M60" s="15">
        <f>((73.59*31)*$C$60)</f>
        <v>22812.9</v>
      </c>
      <c r="N60" s="15">
        <f>((73.59*30)*$C$60)</f>
        <v>22077.000000000004</v>
      </c>
      <c r="O60" s="15">
        <f>((73.59*31)*$C$60)</f>
        <v>22812.9</v>
      </c>
      <c r="P60" s="15">
        <f>((73.59*30)*$C$60)</f>
        <v>22077.000000000004</v>
      </c>
      <c r="Q60" s="15">
        <f>((73.59*31)*$C$60)</f>
        <v>22812.9</v>
      </c>
      <c r="R60" s="15">
        <f t="shared" si="1"/>
        <v>245790.59999999998</v>
      </c>
      <c r="S60" s="14"/>
    </row>
    <row r="61" spans="1:19" ht="41.25" customHeight="1">
      <c r="A61" s="52"/>
      <c r="B61" s="10" t="s">
        <v>7</v>
      </c>
      <c r="C61" s="12">
        <v>6</v>
      </c>
      <c r="D61" s="12" t="s">
        <v>31</v>
      </c>
      <c r="E61" s="15">
        <f t="shared" si="0"/>
        <v>135111.24000000002</v>
      </c>
      <c r="F61" s="15"/>
      <c r="G61" s="15"/>
      <c r="H61" s="15">
        <f>((73.59*31)*$C$61)</f>
        <v>13687.74</v>
      </c>
      <c r="I61" s="15">
        <f>((73.59*30)*$C$61)</f>
        <v>13246.2</v>
      </c>
      <c r="J61" s="15">
        <f>((73.59*31)*$C$61)</f>
        <v>13687.74</v>
      </c>
      <c r="K61" s="15">
        <f>((73.59*30)*$C$61)</f>
        <v>13246.2</v>
      </c>
      <c r="L61" s="15">
        <f>((73.59*31)*$C$61)</f>
        <v>13687.74</v>
      </c>
      <c r="M61" s="15">
        <f>((73.59*31)*$C$61)</f>
        <v>13687.74</v>
      </c>
      <c r="N61" s="15">
        <f>((73.59*30)*$C$61)</f>
        <v>13246.2</v>
      </c>
      <c r="O61" s="15">
        <f>((73.59*31)*$C$61)</f>
        <v>13687.74</v>
      </c>
      <c r="P61" s="15">
        <f>((73.59*30)*$C$61)</f>
        <v>13246.2</v>
      </c>
      <c r="Q61" s="15">
        <f>((73.59*31)*$C$61)</f>
        <v>13687.74</v>
      </c>
      <c r="R61" s="15">
        <f t="shared" si="1"/>
        <v>135111.24000000002</v>
      </c>
    </row>
    <row r="62" spans="1:19" ht="41.25" customHeight="1">
      <c r="A62" s="52"/>
      <c r="B62" s="10" t="s">
        <v>7</v>
      </c>
      <c r="C62" s="12">
        <v>1</v>
      </c>
      <c r="D62" s="12" t="s">
        <v>32</v>
      </c>
      <c r="E62" s="15">
        <f t="shared" si="0"/>
        <v>15748.260000000002</v>
      </c>
      <c r="F62" s="15"/>
      <c r="G62" s="15"/>
      <c r="H62" s="15">
        <f>((73.59*31)*$C$62)</f>
        <v>2281.29</v>
      </c>
      <c r="I62" s="15">
        <f>((73.59*30)*$C$62)</f>
        <v>2207.7000000000003</v>
      </c>
      <c r="J62" s="15">
        <f>((73.59*31)*$C$62)</f>
        <v>2281.29</v>
      </c>
      <c r="K62" s="15">
        <f>((73.59*30)*$C$62)</f>
        <v>2207.7000000000003</v>
      </c>
      <c r="L62" s="15">
        <f>((73.59*31)*$C$62)</f>
        <v>2281.29</v>
      </c>
      <c r="M62" s="15">
        <f>((73.59*31)*$C$62)</f>
        <v>2281.29</v>
      </c>
      <c r="N62" s="15">
        <f>((73.59*30)*$C$62)</f>
        <v>2207.7000000000003</v>
      </c>
      <c r="O62" s="15"/>
      <c r="P62" s="15"/>
      <c r="Q62" s="15"/>
      <c r="R62" s="15">
        <f t="shared" si="1"/>
        <v>15748.260000000002</v>
      </c>
    </row>
    <row r="63" spans="1:19" ht="41.25" customHeight="1">
      <c r="A63" s="52"/>
      <c r="B63" s="10" t="s">
        <v>20</v>
      </c>
      <c r="C63" s="12">
        <v>1</v>
      </c>
      <c r="D63" s="12" t="s">
        <v>6</v>
      </c>
      <c r="E63" s="39">
        <f t="shared" si="0"/>
        <v>27608.600000000002</v>
      </c>
      <c r="F63" s="15">
        <f>((75.64*31)*$C$38)</f>
        <v>2344.84</v>
      </c>
      <c r="G63" s="15">
        <f>((75.64*28)*$C$38)</f>
        <v>2117.92</v>
      </c>
      <c r="H63" s="15">
        <f>((75.64*31)*$C$38)</f>
        <v>2344.84</v>
      </c>
      <c r="I63" s="15">
        <f>((75.64*30)*$C$38)</f>
        <v>2269.1999999999998</v>
      </c>
      <c r="J63" s="15">
        <f>((75.64*31)*$C$38)</f>
        <v>2344.84</v>
      </c>
      <c r="K63" s="15">
        <f>((75.64*30)*$C$38)</f>
        <v>2269.1999999999998</v>
      </c>
      <c r="L63" s="15">
        <f>((75.64*31)*$C$38)</f>
        <v>2344.84</v>
      </c>
      <c r="M63" s="15">
        <f>((75.64*31)*$C$38)</f>
        <v>2344.84</v>
      </c>
      <c r="N63" s="15">
        <f>((75.64*30)*$C$38)</f>
        <v>2269.1999999999998</v>
      </c>
      <c r="O63" s="15">
        <f>((75.64*31)*$C$38)</f>
        <v>2344.84</v>
      </c>
      <c r="P63" s="15">
        <f>((75.64*30)*$C$38)</f>
        <v>2269.1999999999998</v>
      </c>
      <c r="Q63" s="15">
        <f>((75.64*31)*$C$38)</f>
        <v>2344.84</v>
      </c>
      <c r="R63" s="15">
        <f t="shared" si="1"/>
        <v>27608.600000000002</v>
      </c>
    </row>
    <row r="64" spans="1:19" ht="41.25" customHeight="1">
      <c r="A64" s="53"/>
      <c r="B64" s="12" t="s">
        <v>3</v>
      </c>
      <c r="C64" s="45"/>
      <c r="D64" s="45"/>
      <c r="E64" s="46">
        <f>R64</f>
        <v>1590.4499999955297</v>
      </c>
      <c r="F64" s="45"/>
      <c r="G64" s="45"/>
      <c r="H64" s="45"/>
      <c r="I64" s="14"/>
      <c r="J64" s="14"/>
      <c r="K64" s="14"/>
      <c r="L64" s="14"/>
      <c r="M64" s="14"/>
      <c r="N64" s="14"/>
      <c r="O64" s="14"/>
      <c r="P64" s="14"/>
      <c r="Q64" s="14"/>
      <c r="R64" s="15">
        <v>1590.4499999955297</v>
      </c>
    </row>
    <row r="65" spans="1:18" ht="41.25" customHeight="1">
      <c r="A65" s="92" t="s">
        <v>33</v>
      </c>
      <c r="B65" s="93"/>
      <c r="C65" s="94"/>
      <c r="D65" s="47" t="s">
        <v>76</v>
      </c>
      <c r="E65" s="41">
        <f>SUM(E67:E69)</f>
        <v>348878</v>
      </c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16"/>
    </row>
    <row r="66" spans="1:18" ht="41.25" customHeight="1">
      <c r="A66" s="40" t="s">
        <v>34</v>
      </c>
      <c r="B66" s="38"/>
      <c r="C66" s="10">
        <f>SUM(C67:C68)</f>
        <v>13</v>
      </c>
      <c r="D66" s="72" t="s">
        <v>2</v>
      </c>
      <c r="E66" s="73">
        <f>SUM(E67:E68)</f>
        <v>346903.26</v>
      </c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</row>
    <row r="67" spans="1:18" ht="41.25" customHeight="1">
      <c r="A67" s="88"/>
      <c r="B67" s="10" t="s">
        <v>7</v>
      </c>
      <c r="C67" s="12">
        <v>12</v>
      </c>
      <c r="D67" s="12" t="s">
        <v>6</v>
      </c>
      <c r="E67" s="15">
        <f>R67</f>
        <v>322324.2</v>
      </c>
      <c r="F67" s="15">
        <f>((73.59*31)*C$67)</f>
        <v>27375.48</v>
      </c>
      <c r="G67" s="15">
        <f>((73.59*28)*$C$67)</f>
        <v>24726.239999999998</v>
      </c>
      <c r="H67" s="15">
        <f>((73.59*31)*$C$67)</f>
        <v>27375.48</v>
      </c>
      <c r="I67" s="15">
        <f>((73.59*30)*$C$67)</f>
        <v>26492.400000000001</v>
      </c>
      <c r="J67" s="15">
        <f>((73.59*31)*$C$67)</f>
        <v>27375.48</v>
      </c>
      <c r="K67" s="15">
        <f>((73.59*30)*$C$67)</f>
        <v>26492.400000000001</v>
      </c>
      <c r="L67" s="15">
        <f>((73.59*31)*$C$67)</f>
        <v>27375.48</v>
      </c>
      <c r="M67" s="15">
        <f>((73.59*31)*$C$67)</f>
        <v>27375.48</v>
      </c>
      <c r="N67" s="15">
        <f>((73.59*30)*$C$67)</f>
        <v>26492.400000000001</v>
      </c>
      <c r="O67" s="15">
        <f>((73.59*31)*$C$67)</f>
        <v>27375.48</v>
      </c>
      <c r="P67" s="15">
        <f>((73.59*30)*$C$67)</f>
        <v>26492.400000000001</v>
      </c>
      <c r="Q67" s="15">
        <f>((73.59*31)*$C$67)</f>
        <v>27375.48</v>
      </c>
      <c r="R67" s="15">
        <f>SUM(F67:Q67)</f>
        <v>322324.2</v>
      </c>
    </row>
    <row r="68" spans="1:18" ht="41.25" customHeight="1">
      <c r="A68" s="89"/>
      <c r="B68" s="10" t="s">
        <v>7</v>
      </c>
      <c r="C68" s="12">
        <v>1</v>
      </c>
      <c r="D68" s="12" t="s">
        <v>30</v>
      </c>
      <c r="E68" s="15">
        <f>R68</f>
        <v>24579.060000000005</v>
      </c>
      <c r="F68" s="15"/>
      <c r="G68" s="15">
        <f>((73.59*28)*$C$68)</f>
        <v>2060.52</v>
      </c>
      <c r="H68" s="15">
        <f>((73.59*31)*$C$68)</f>
        <v>2281.29</v>
      </c>
      <c r="I68" s="15">
        <f>((73.59*30)*$C$68)</f>
        <v>2207.7000000000003</v>
      </c>
      <c r="J68" s="15">
        <f>((73.59*31)*$C$68)</f>
        <v>2281.29</v>
      </c>
      <c r="K68" s="15">
        <f>((73.59*30)*$C$68)</f>
        <v>2207.7000000000003</v>
      </c>
      <c r="L68" s="15">
        <f>((73.59*31)*$C$68)</f>
        <v>2281.29</v>
      </c>
      <c r="M68" s="15">
        <f>((73.59*31)*$C$68)</f>
        <v>2281.29</v>
      </c>
      <c r="N68" s="15">
        <f>((73.59*30)*$C$68)</f>
        <v>2207.7000000000003</v>
      </c>
      <c r="O68" s="15">
        <f>((73.59*31)*$C$68)</f>
        <v>2281.29</v>
      </c>
      <c r="P68" s="15">
        <f>((73.59*30)*$C$68)</f>
        <v>2207.7000000000003</v>
      </c>
      <c r="Q68" s="15">
        <f>((73.59*31)*$C$68)</f>
        <v>2281.29</v>
      </c>
      <c r="R68" s="15">
        <f>SUM(F68:Q68)</f>
        <v>24579.060000000005</v>
      </c>
    </row>
    <row r="69" spans="1:18" ht="41.25" customHeight="1">
      <c r="A69" s="90"/>
      <c r="B69" s="12" t="s">
        <v>3</v>
      </c>
      <c r="C69" s="45"/>
      <c r="D69" s="45"/>
      <c r="E69" s="46">
        <f>R69</f>
        <v>1974.74</v>
      </c>
      <c r="F69" s="45"/>
      <c r="G69" s="4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>
        <v>1974.74</v>
      </c>
    </row>
    <row r="70" spans="1:18" ht="41.25" customHeight="1">
      <c r="A70" s="92" t="s">
        <v>35</v>
      </c>
      <c r="B70" s="93"/>
      <c r="C70" s="94"/>
      <c r="D70" s="35" t="s">
        <v>76</v>
      </c>
      <c r="E70" s="41">
        <f>SUM(E72:E76)</f>
        <v>199250</v>
      </c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2"/>
    </row>
    <row r="71" spans="1:18" ht="41.25" customHeight="1">
      <c r="A71" s="40" t="s">
        <v>36</v>
      </c>
      <c r="B71" s="38"/>
      <c r="C71" s="10">
        <f>SUM(C72:C75)</f>
        <v>8</v>
      </c>
      <c r="D71" s="72" t="s">
        <v>2</v>
      </c>
      <c r="E71" s="73">
        <f>SUM(E72:E75)</f>
        <v>196762.87</v>
      </c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5"/>
    </row>
    <row r="72" spans="1:18" ht="41.25" customHeight="1">
      <c r="A72" s="88"/>
      <c r="B72" s="11" t="s">
        <v>5</v>
      </c>
      <c r="C72" s="12">
        <v>1</v>
      </c>
      <c r="D72" s="12" t="s">
        <v>10</v>
      </c>
      <c r="E72" s="15">
        <f>R72</f>
        <v>12923.4</v>
      </c>
      <c r="F72" s="15">
        <f>((71.4*31)*C72)</f>
        <v>2213.4</v>
      </c>
      <c r="G72" s="15">
        <f>((71.4*28)*C72)</f>
        <v>1999.2000000000003</v>
      </c>
      <c r="H72" s="15">
        <f>((71.4*31)*C72)</f>
        <v>2213.4</v>
      </c>
      <c r="I72" s="15">
        <f>((71.4*30)*C72)</f>
        <v>2142</v>
      </c>
      <c r="J72" s="15">
        <f>((71.4*31)*C72)</f>
        <v>2213.4</v>
      </c>
      <c r="K72" s="15">
        <f>((71.4*30)*C72)</f>
        <v>2142</v>
      </c>
      <c r="L72" s="15"/>
      <c r="M72" s="15"/>
      <c r="N72" s="15"/>
      <c r="O72" s="15"/>
      <c r="P72" s="15"/>
      <c r="Q72" s="15"/>
      <c r="R72" s="15">
        <f>SUM(F72:Q72)</f>
        <v>12923.4</v>
      </c>
    </row>
    <row r="73" spans="1:18" ht="41.25" customHeight="1">
      <c r="A73" s="89"/>
      <c r="B73" s="10" t="s">
        <v>7</v>
      </c>
      <c r="C73" s="12">
        <v>5</v>
      </c>
      <c r="D73" s="12" t="s">
        <v>6</v>
      </c>
      <c r="E73" s="15">
        <f>R73</f>
        <v>134301.75</v>
      </c>
      <c r="F73" s="15">
        <f>((73.59*31)*C73)</f>
        <v>11406.45</v>
      </c>
      <c r="G73" s="15">
        <f>((73.59*28)*C73)</f>
        <v>10302.6</v>
      </c>
      <c r="H73" s="15">
        <f>((73.59*31)*C73)</f>
        <v>11406.45</v>
      </c>
      <c r="I73" s="15">
        <f>((73.59*30)*C73)</f>
        <v>11038.500000000002</v>
      </c>
      <c r="J73" s="15">
        <f>((73.59*31)*C73)</f>
        <v>11406.45</v>
      </c>
      <c r="K73" s="15">
        <f>((73.59*30)*C73)</f>
        <v>11038.500000000002</v>
      </c>
      <c r="L73" s="15">
        <f>((73.59*31)*C73)</f>
        <v>11406.45</v>
      </c>
      <c r="M73" s="15">
        <f>((73.59*31)*C73)</f>
        <v>11406.45</v>
      </c>
      <c r="N73" s="15">
        <f>((73.59*30)*C73)</f>
        <v>11038.500000000002</v>
      </c>
      <c r="O73" s="15">
        <f>((73.59*31)*C73)</f>
        <v>11406.45</v>
      </c>
      <c r="P73" s="15">
        <f>((73.59*30)*C73)</f>
        <v>11038.500000000002</v>
      </c>
      <c r="Q73" s="15">
        <f>((73.59*31)*C73)</f>
        <v>11406.45</v>
      </c>
      <c r="R73" s="15">
        <f>SUM(F73:Q73)</f>
        <v>134301.75</v>
      </c>
    </row>
    <row r="74" spans="1:18" ht="41.25" customHeight="1">
      <c r="A74" s="89"/>
      <c r="B74" s="10" t="s">
        <v>7</v>
      </c>
      <c r="C74" s="12">
        <v>1</v>
      </c>
      <c r="D74" s="12" t="s">
        <v>37</v>
      </c>
      <c r="E74" s="15">
        <f>R74</f>
        <v>22297.770000000004</v>
      </c>
      <c r="F74" s="15"/>
      <c r="G74" s="15">
        <f>((73.59*28)*C74)</f>
        <v>2060.52</v>
      </c>
      <c r="H74" s="15">
        <f>((73.59*31)*C74)</f>
        <v>2281.29</v>
      </c>
      <c r="I74" s="15">
        <f>((73.59*30)*C74)</f>
        <v>2207.7000000000003</v>
      </c>
      <c r="J74" s="15">
        <f>((73.59*31)*C74)</f>
        <v>2281.29</v>
      </c>
      <c r="K74" s="15">
        <f>((73.59*30)*C74)</f>
        <v>2207.7000000000003</v>
      </c>
      <c r="L74" s="15">
        <f>((73.59*31)*C74)</f>
        <v>2281.29</v>
      </c>
      <c r="M74" s="15">
        <f>((73.59*31)*C74)</f>
        <v>2281.29</v>
      </c>
      <c r="N74" s="15">
        <f>((73.59*30)*C74)</f>
        <v>2207.7000000000003</v>
      </c>
      <c r="O74" s="15">
        <f>((73.59*31)*C74)</f>
        <v>2281.29</v>
      </c>
      <c r="P74" s="15">
        <f>((73.59*30)*C74)</f>
        <v>2207.7000000000003</v>
      </c>
      <c r="Q74" s="15"/>
      <c r="R74" s="15">
        <f>SUM(F74:Q74)</f>
        <v>22297.770000000004</v>
      </c>
    </row>
    <row r="75" spans="1:18" ht="41.25" customHeight="1">
      <c r="A75" s="89"/>
      <c r="B75" s="10" t="s">
        <v>15</v>
      </c>
      <c r="C75" s="12">
        <v>1</v>
      </c>
      <c r="D75" s="12" t="s">
        <v>6</v>
      </c>
      <c r="E75" s="39">
        <f>R75</f>
        <v>27239.949999999997</v>
      </c>
      <c r="F75" s="15">
        <f>((74.63*31)*C75)</f>
        <v>2313.5299999999997</v>
      </c>
      <c r="G75" s="15">
        <f>((74.63*28)*C75)</f>
        <v>2089.64</v>
      </c>
      <c r="H75" s="15">
        <f>((74.63*31)*C75)</f>
        <v>2313.5299999999997</v>
      </c>
      <c r="I75" s="15">
        <f>((74.63*30)*C75)</f>
        <v>2238.8999999999996</v>
      </c>
      <c r="J75" s="15">
        <f>((74.63*31)*C75)</f>
        <v>2313.5299999999997</v>
      </c>
      <c r="K75" s="15">
        <f>((74.63*30)*C75)</f>
        <v>2238.8999999999996</v>
      </c>
      <c r="L75" s="15">
        <f>((74.63*31)*C75)</f>
        <v>2313.5299999999997</v>
      </c>
      <c r="M75" s="15">
        <f>((74.63*31)*C75)</f>
        <v>2313.5299999999997</v>
      </c>
      <c r="N75" s="15">
        <f>((74.63*30)*C75)</f>
        <v>2238.8999999999996</v>
      </c>
      <c r="O75" s="15">
        <f>((74.63*31)*C75)</f>
        <v>2313.5299999999997</v>
      </c>
      <c r="P75" s="15">
        <f>((74.63*30)*C75)</f>
        <v>2238.8999999999996</v>
      </c>
      <c r="Q75" s="15">
        <f>((74.63*31)*C75)</f>
        <v>2313.5299999999997</v>
      </c>
      <c r="R75" s="15">
        <f>SUM(F75:Q75)</f>
        <v>27239.949999999997</v>
      </c>
    </row>
    <row r="76" spans="1:18" ht="41.25" customHeight="1">
      <c r="A76" s="90"/>
      <c r="B76" s="12" t="s">
        <v>3</v>
      </c>
      <c r="C76" s="43"/>
      <c r="D76" s="45"/>
      <c r="E76" s="46">
        <f>R76</f>
        <v>2487.1300000000047</v>
      </c>
      <c r="F76" s="45"/>
      <c r="G76" s="45"/>
      <c r="H76" s="45"/>
      <c r="I76" s="14"/>
      <c r="J76" s="14"/>
      <c r="K76" s="14"/>
      <c r="L76" s="14"/>
      <c r="M76" s="14"/>
      <c r="N76" s="14"/>
      <c r="O76" s="14"/>
      <c r="P76" s="14"/>
      <c r="Q76" s="14"/>
      <c r="R76" s="15">
        <v>2487.1300000000047</v>
      </c>
    </row>
    <row r="77" spans="1:18" ht="41.25" customHeight="1">
      <c r="A77" s="92" t="s">
        <v>38</v>
      </c>
      <c r="B77" s="93"/>
      <c r="C77" s="94"/>
      <c r="D77" s="47" t="s">
        <v>76</v>
      </c>
      <c r="E77" s="41">
        <f>SUM(E79:E84)</f>
        <v>789104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16"/>
    </row>
    <row r="78" spans="1:18" ht="41.25" customHeight="1">
      <c r="A78" s="40" t="s">
        <v>39</v>
      </c>
      <c r="B78" s="38"/>
      <c r="C78" s="10">
        <f>SUM(C79:C83)</f>
        <v>30</v>
      </c>
      <c r="D78" s="72" t="s">
        <v>2</v>
      </c>
      <c r="E78" s="73">
        <f>SUM(E79:E83)</f>
        <v>787636.57</v>
      </c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9"/>
    </row>
    <row r="79" spans="1:18" ht="41.25" customHeight="1">
      <c r="A79" s="88"/>
      <c r="B79" s="10" t="s">
        <v>7</v>
      </c>
      <c r="C79" s="12">
        <v>24</v>
      </c>
      <c r="D79" s="12" t="s">
        <v>6</v>
      </c>
      <c r="E79" s="15">
        <f t="shared" ref="E79:E84" si="2">R79</f>
        <v>644648.4</v>
      </c>
      <c r="F79" s="15">
        <f>((73.59*31)*C79)</f>
        <v>54750.96</v>
      </c>
      <c r="G79" s="15">
        <f>((73.59*28)*C79)</f>
        <v>49452.479999999996</v>
      </c>
      <c r="H79" s="15">
        <f>((73.59*31)*C79)</f>
        <v>54750.96</v>
      </c>
      <c r="I79" s="15">
        <f>((73.59*30)*C79)</f>
        <v>52984.800000000003</v>
      </c>
      <c r="J79" s="15">
        <f>((73.59*31)*C79)</f>
        <v>54750.96</v>
      </c>
      <c r="K79" s="15">
        <f>((73.59*30)*C79)</f>
        <v>52984.800000000003</v>
      </c>
      <c r="L79" s="15">
        <f>((73.59*31)*C79)</f>
        <v>54750.96</v>
      </c>
      <c r="M79" s="15">
        <f>((73.59*31)*C79)</f>
        <v>54750.96</v>
      </c>
      <c r="N79" s="15">
        <f>((73.59*30)*C79)</f>
        <v>52984.800000000003</v>
      </c>
      <c r="O79" s="15">
        <f>((73.59*31)*C79)</f>
        <v>54750.96</v>
      </c>
      <c r="P79" s="15">
        <f>((73.59*30)*C79)</f>
        <v>52984.800000000003</v>
      </c>
      <c r="Q79" s="15">
        <f>((73.59*31)*C79)</f>
        <v>54750.96</v>
      </c>
      <c r="R79" s="15">
        <f>SUM(F79:Q79)</f>
        <v>644648.4</v>
      </c>
    </row>
    <row r="80" spans="1:18" ht="41.25" customHeight="1">
      <c r="A80" s="89"/>
      <c r="B80" s="10" t="s">
        <v>7</v>
      </c>
      <c r="C80" s="12">
        <v>3</v>
      </c>
      <c r="D80" s="12" t="s">
        <v>31</v>
      </c>
      <c r="E80" s="15">
        <f t="shared" si="2"/>
        <v>67555.62000000001</v>
      </c>
      <c r="F80" s="15"/>
      <c r="G80" s="15"/>
      <c r="H80" s="15">
        <f>((73.59*31)*C80)</f>
        <v>6843.87</v>
      </c>
      <c r="I80" s="15">
        <f>((73.59*30)*C80)</f>
        <v>6623.1</v>
      </c>
      <c r="J80" s="15">
        <f>((73.59*31)*C80)</f>
        <v>6843.87</v>
      </c>
      <c r="K80" s="15">
        <f>((73.59*30)*C80)</f>
        <v>6623.1</v>
      </c>
      <c r="L80" s="15">
        <f>((73.59*31)*C80)</f>
        <v>6843.87</v>
      </c>
      <c r="M80" s="15">
        <f>((73.59*31)*C80)</f>
        <v>6843.87</v>
      </c>
      <c r="N80" s="15">
        <f>((73.59*30)*C80)</f>
        <v>6623.1</v>
      </c>
      <c r="O80" s="15">
        <f>((73.59*31)*C80)</f>
        <v>6843.87</v>
      </c>
      <c r="P80" s="15">
        <f>((73.59*30)*C80)</f>
        <v>6623.1</v>
      </c>
      <c r="Q80" s="15">
        <f>((73.59*31)*C80)</f>
        <v>6843.87</v>
      </c>
      <c r="R80" s="15">
        <f>SUM(F80:Q80)</f>
        <v>67555.62000000001</v>
      </c>
    </row>
    <row r="81" spans="1:18" ht="41.25" customHeight="1">
      <c r="A81" s="89"/>
      <c r="B81" s="10" t="s">
        <v>7</v>
      </c>
      <c r="C81" s="12">
        <v>1</v>
      </c>
      <c r="D81" s="12" t="s">
        <v>40</v>
      </c>
      <c r="E81" s="15">
        <f t="shared" si="2"/>
        <v>20237.250000000004</v>
      </c>
      <c r="F81" s="15"/>
      <c r="G81" s="15"/>
      <c r="H81" s="15">
        <f>((73.59*31)*C81)</f>
        <v>2281.29</v>
      </c>
      <c r="I81" s="15">
        <f>((73.59*30)*C81)</f>
        <v>2207.7000000000003</v>
      </c>
      <c r="J81" s="15">
        <f>((73.59*31)*C81)</f>
        <v>2281.29</v>
      </c>
      <c r="K81" s="15">
        <f>((73.59*30)*C81)</f>
        <v>2207.7000000000003</v>
      </c>
      <c r="L81" s="15">
        <f>((73.59*31)*C81)</f>
        <v>2281.29</v>
      </c>
      <c r="M81" s="15">
        <f>((73.59*31)*C81)</f>
        <v>2281.29</v>
      </c>
      <c r="N81" s="15">
        <f>((73.59*30)*C81)</f>
        <v>2207.7000000000003</v>
      </c>
      <c r="O81" s="15">
        <f>((73.59*31)*C81)</f>
        <v>2281.29</v>
      </c>
      <c r="P81" s="15">
        <f>((73.59*30)*C81)</f>
        <v>2207.7000000000003</v>
      </c>
      <c r="Q81" s="15"/>
      <c r="R81" s="15">
        <f>SUM(F81:Q81)</f>
        <v>20237.250000000004</v>
      </c>
    </row>
    <row r="82" spans="1:18" ht="41.25" customHeight="1">
      <c r="A82" s="89"/>
      <c r="B82" s="10" t="s">
        <v>15</v>
      </c>
      <c r="C82" s="12">
        <v>1</v>
      </c>
      <c r="D82" s="12" t="s">
        <v>6</v>
      </c>
      <c r="E82" s="39">
        <f t="shared" si="2"/>
        <v>27239.949999999997</v>
      </c>
      <c r="F82" s="15">
        <f>((74.63*31)*C82)</f>
        <v>2313.5299999999997</v>
      </c>
      <c r="G82" s="15">
        <f>((74.63*28)*C82)</f>
        <v>2089.64</v>
      </c>
      <c r="H82" s="15">
        <f>((74.63*31)*C82)</f>
        <v>2313.5299999999997</v>
      </c>
      <c r="I82" s="15">
        <f>((74.63*30)*C82)</f>
        <v>2238.8999999999996</v>
      </c>
      <c r="J82" s="15">
        <f>((74.63*31)*C82)</f>
        <v>2313.5299999999997</v>
      </c>
      <c r="K82" s="15">
        <f>((74.63*30)*C82)</f>
        <v>2238.8999999999996</v>
      </c>
      <c r="L82" s="15">
        <f>((74.63*31)*C82)</f>
        <v>2313.5299999999997</v>
      </c>
      <c r="M82" s="15">
        <f>((74.63*31)*C82)</f>
        <v>2313.5299999999997</v>
      </c>
      <c r="N82" s="15">
        <f>((74.63*30)*C82)</f>
        <v>2238.8999999999996</v>
      </c>
      <c r="O82" s="15">
        <f>((74.63*31)*C82)</f>
        <v>2313.5299999999997</v>
      </c>
      <c r="P82" s="15">
        <f>((74.63*30)*C82)</f>
        <v>2238.8999999999996</v>
      </c>
      <c r="Q82" s="15">
        <f>((74.63*31)*C82)</f>
        <v>2313.5299999999997</v>
      </c>
      <c r="R82" s="15">
        <f>SUM(F82:Q82)</f>
        <v>27239.949999999997</v>
      </c>
    </row>
    <row r="83" spans="1:18" ht="41.25" customHeight="1">
      <c r="A83" s="89"/>
      <c r="B83" s="10" t="s">
        <v>11</v>
      </c>
      <c r="C83" s="12">
        <v>1</v>
      </c>
      <c r="D83" s="12" t="s">
        <v>6</v>
      </c>
      <c r="E83" s="39">
        <f t="shared" si="2"/>
        <v>27955.350000000006</v>
      </c>
      <c r="F83" s="15">
        <f>((76.59*31)*C83)</f>
        <v>2374.29</v>
      </c>
      <c r="G83" s="15">
        <f>((76.59*28)*C83)</f>
        <v>2144.52</v>
      </c>
      <c r="H83" s="15">
        <f>((76.59*31)*C83)</f>
        <v>2374.29</v>
      </c>
      <c r="I83" s="15">
        <f>((76.59*30)*C83)</f>
        <v>2297.7000000000003</v>
      </c>
      <c r="J83" s="15">
        <f>((76.59*31)*C83)</f>
        <v>2374.29</v>
      </c>
      <c r="K83" s="15">
        <f>((76.59*30)*C83)</f>
        <v>2297.7000000000003</v>
      </c>
      <c r="L83" s="15">
        <f>((76.59*31)*C83)</f>
        <v>2374.29</v>
      </c>
      <c r="M83" s="15">
        <f>((76.59*31)*C83)</f>
        <v>2374.29</v>
      </c>
      <c r="N83" s="15">
        <f>((76.59*30)*C83)</f>
        <v>2297.7000000000003</v>
      </c>
      <c r="O83" s="15">
        <f>((76.59*31)*C83)</f>
        <v>2374.29</v>
      </c>
      <c r="P83" s="15">
        <f>((76.59*30)*C83)</f>
        <v>2297.7000000000003</v>
      </c>
      <c r="Q83" s="15">
        <f>((76.59*31)*C83)</f>
        <v>2374.29</v>
      </c>
      <c r="R83" s="15">
        <f>SUM(F83:Q83)</f>
        <v>27955.350000000006</v>
      </c>
    </row>
    <row r="84" spans="1:18" ht="41.25" customHeight="1">
      <c r="A84" s="90"/>
      <c r="B84" s="12" t="s">
        <v>3</v>
      </c>
      <c r="C84" s="45"/>
      <c r="D84" s="45"/>
      <c r="E84" s="46">
        <f t="shared" si="2"/>
        <v>1467.43</v>
      </c>
      <c r="F84" s="45"/>
      <c r="G84" s="45"/>
      <c r="H84" s="45"/>
      <c r="I84" s="14"/>
      <c r="J84" s="14"/>
      <c r="K84" s="14"/>
      <c r="L84" s="14"/>
      <c r="M84" s="14"/>
      <c r="N84" s="14"/>
      <c r="O84" s="14"/>
      <c r="P84" s="14"/>
      <c r="Q84" s="14"/>
      <c r="R84" s="15">
        <v>1467.43</v>
      </c>
    </row>
    <row r="85" spans="1:18" ht="41.25" customHeight="1">
      <c r="A85" s="92" t="s">
        <v>41</v>
      </c>
      <c r="B85" s="93"/>
      <c r="C85" s="94"/>
      <c r="D85" s="35" t="s">
        <v>76</v>
      </c>
      <c r="E85" s="41">
        <f>SUM(E87:E90)</f>
        <v>462159.00000000006</v>
      </c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16"/>
    </row>
    <row r="86" spans="1:18" ht="41.25" customHeight="1">
      <c r="A86" s="40" t="s">
        <v>42</v>
      </c>
      <c r="B86" s="38"/>
      <c r="C86" s="10">
        <f>SUM(C87:C89)</f>
        <v>20</v>
      </c>
      <c r="D86" s="72" t="s">
        <v>2</v>
      </c>
      <c r="E86" s="73">
        <f>SUM(E87:E89)</f>
        <v>460051.64999999997</v>
      </c>
      <c r="F86" s="1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ht="41.25" customHeight="1">
      <c r="A87" s="51"/>
      <c r="B87" s="54" t="s">
        <v>5</v>
      </c>
      <c r="C87" s="12">
        <v>4</v>
      </c>
      <c r="D87" s="12" t="s">
        <v>6</v>
      </c>
      <c r="E87" s="15">
        <f>R87</f>
        <v>104244.00000000001</v>
      </c>
      <c r="F87" s="15">
        <f>((71.4*31)*C87)</f>
        <v>8853.6</v>
      </c>
      <c r="G87" s="15">
        <f>((71.4*28)*C87)</f>
        <v>7996.8000000000011</v>
      </c>
      <c r="H87" s="15">
        <f>((71.4*31)*C87)</f>
        <v>8853.6</v>
      </c>
      <c r="I87" s="15">
        <f>((71.4*30)*C87)</f>
        <v>8568</v>
      </c>
      <c r="J87" s="15">
        <f>((71.4*31)*C87)</f>
        <v>8853.6</v>
      </c>
      <c r="K87" s="15">
        <f>((71.4*30)*C87)</f>
        <v>8568</v>
      </c>
      <c r="L87" s="15">
        <f>((71.4*31)*C87)</f>
        <v>8853.6</v>
      </c>
      <c r="M87" s="15">
        <f>((71.4*31)*C87)</f>
        <v>8853.6</v>
      </c>
      <c r="N87" s="15">
        <f>((71.4*30)*C87)</f>
        <v>8568</v>
      </c>
      <c r="O87" s="15">
        <f>((71.4*31)*C87)</f>
        <v>8853.6</v>
      </c>
      <c r="P87" s="15">
        <f>((71.4*30)*C87)</f>
        <v>8568</v>
      </c>
      <c r="Q87" s="15">
        <f>((71.4*31)*C87)</f>
        <v>8853.6</v>
      </c>
      <c r="R87" s="15">
        <f>SUM(F87:Q87)</f>
        <v>104244.00000000001</v>
      </c>
    </row>
    <row r="88" spans="1:18" ht="41.25" customHeight="1">
      <c r="A88" s="52"/>
      <c r="B88" s="55" t="s">
        <v>7</v>
      </c>
      <c r="C88" s="12">
        <v>15</v>
      </c>
      <c r="D88" s="12" t="s">
        <v>31</v>
      </c>
      <c r="E88" s="15">
        <f>R88</f>
        <v>337778.1</v>
      </c>
      <c r="F88" s="15"/>
      <c r="G88" s="15"/>
      <c r="H88" s="15">
        <f>((73.59*31)*C88)</f>
        <v>34219.35</v>
      </c>
      <c r="I88" s="15">
        <f>((73.59*30)*C88)</f>
        <v>33115.500000000007</v>
      </c>
      <c r="J88" s="15">
        <f>((73.59*31)*C88)</f>
        <v>34219.35</v>
      </c>
      <c r="K88" s="15">
        <f>((73.59*30)*C88)</f>
        <v>33115.500000000007</v>
      </c>
      <c r="L88" s="15">
        <f>((73.59*31)*C88)</f>
        <v>34219.35</v>
      </c>
      <c r="M88" s="15">
        <f>((73.59*31)*C88)</f>
        <v>34219.35</v>
      </c>
      <c r="N88" s="15">
        <f>((73.59*30)*C88)</f>
        <v>33115.500000000007</v>
      </c>
      <c r="O88" s="15">
        <f>((73.59*31)*C88)</f>
        <v>34219.35</v>
      </c>
      <c r="P88" s="15">
        <f>((73.59*30)*C88)</f>
        <v>33115.500000000007</v>
      </c>
      <c r="Q88" s="15">
        <f>((73.59*31)*C88)</f>
        <v>34219.35</v>
      </c>
      <c r="R88" s="15">
        <f>SUM(F88:Q88)</f>
        <v>337778.1</v>
      </c>
    </row>
    <row r="89" spans="1:18" ht="41.25" customHeight="1">
      <c r="A89" s="52"/>
      <c r="B89" s="55" t="s">
        <v>7</v>
      </c>
      <c r="C89" s="12">
        <v>1</v>
      </c>
      <c r="D89" s="12" t="s">
        <v>43</v>
      </c>
      <c r="E89" s="15">
        <f>R89</f>
        <v>18029.550000000003</v>
      </c>
      <c r="F89" s="15"/>
      <c r="G89" s="15"/>
      <c r="H89" s="15">
        <f>((73.59*31)*C89)</f>
        <v>2281.29</v>
      </c>
      <c r="I89" s="15">
        <f>((73.59*30)*C89)</f>
        <v>2207.7000000000003</v>
      </c>
      <c r="J89" s="15">
        <f>((73.59*31)*C89)</f>
        <v>2281.29</v>
      </c>
      <c r="K89" s="15">
        <f>((73.59*30)*C89)</f>
        <v>2207.7000000000003</v>
      </c>
      <c r="L89" s="15">
        <f>((73.59*31)*C89)</f>
        <v>2281.29</v>
      </c>
      <c r="M89" s="15">
        <f>((73.59*31)*C89)</f>
        <v>2281.29</v>
      </c>
      <c r="N89" s="15">
        <f>((73.59*30)*C89)</f>
        <v>2207.7000000000003</v>
      </c>
      <c r="O89" s="15">
        <f>((73.59*31)*C89)</f>
        <v>2281.29</v>
      </c>
      <c r="P89" s="15"/>
      <c r="Q89" s="15"/>
      <c r="R89" s="15">
        <f>SUM(F89:Q89)</f>
        <v>18029.550000000003</v>
      </c>
    </row>
    <row r="90" spans="1:18" ht="41.25" customHeight="1">
      <c r="A90" s="52"/>
      <c r="B90" s="42" t="s">
        <v>3</v>
      </c>
      <c r="C90" s="32"/>
      <c r="D90" s="32"/>
      <c r="E90" s="39">
        <f>R90</f>
        <v>2107.3500000000931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15">
        <v>2107.3500000000931</v>
      </c>
    </row>
    <row r="91" spans="1:18" ht="41.25" customHeight="1">
      <c r="A91" s="53"/>
      <c r="B91" s="76" t="s">
        <v>91</v>
      </c>
      <c r="C91" s="75"/>
      <c r="D91" s="74"/>
      <c r="E91" s="77">
        <f>E9+E15+E22+E29+E34+E40+E45+E51+E56+E65+E70+E77+E85</f>
        <v>8324255.9999999963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5"/>
    </row>
    <row r="92" spans="1:18" ht="41.25" customHeight="1">
      <c r="A92" s="98" t="s">
        <v>97</v>
      </c>
      <c r="B92" s="99"/>
      <c r="C92" s="100"/>
      <c r="D92" s="35" t="s">
        <v>76</v>
      </c>
      <c r="E92" s="36">
        <f>SUM(E94:E95)</f>
        <v>564068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6"/>
    </row>
    <row r="93" spans="1:18" ht="41.25" customHeight="1">
      <c r="A93" s="56" t="s">
        <v>44</v>
      </c>
      <c r="B93" s="57"/>
      <c r="C93" s="30">
        <f>SUM(C94:C94)</f>
        <v>21</v>
      </c>
      <c r="D93" s="78" t="s">
        <v>2</v>
      </c>
      <c r="E93" s="79">
        <f>SUM(E94)</f>
        <v>564067.35</v>
      </c>
      <c r="F93" s="1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9"/>
    </row>
    <row r="94" spans="1:18" ht="41.25" customHeight="1">
      <c r="A94" s="88"/>
      <c r="B94" s="10" t="s">
        <v>7</v>
      </c>
      <c r="C94" s="12">
        <v>21</v>
      </c>
      <c r="D94" s="12" t="s">
        <v>6</v>
      </c>
      <c r="E94" s="15">
        <f>R94</f>
        <v>564067.35</v>
      </c>
      <c r="F94" s="15">
        <f>((73.59*31)*C94)</f>
        <v>47907.09</v>
      </c>
      <c r="G94" s="15">
        <f>((73.59*28)*C94)</f>
        <v>43270.92</v>
      </c>
      <c r="H94" s="15">
        <f>((73.59*31)*C94)</f>
        <v>47907.09</v>
      </c>
      <c r="I94" s="15">
        <f>((73.59*30)*C94)</f>
        <v>46361.700000000004</v>
      </c>
      <c r="J94" s="15">
        <f>((73.59*31)*C94)</f>
        <v>47907.09</v>
      </c>
      <c r="K94" s="15">
        <f>((73.59*30)*C94)</f>
        <v>46361.700000000004</v>
      </c>
      <c r="L94" s="15">
        <f>((73.59*31)*C94)</f>
        <v>47907.09</v>
      </c>
      <c r="M94" s="15">
        <f>((73.59*31)*C94)</f>
        <v>47907.09</v>
      </c>
      <c r="N94" s="15">
        <f>((73.59*30)*C94)</f>
        <v>46361.700000000004</v>
      </c>
      <c r="O94" s="15">
        <f>((73.59*31)*C94)</f>
        <v>47907.09</v>
      </c>
      <c r="P94" s="15">
        <f>((73.59*30)*C94)</f>
        <v>46361.700000000004</v>
      </c>
      <c r="Q94" s="15">
        <f>((73.59*31)*C94)</f>
        <v>47907.09</v>
      </c>
      <c r="R94" s="15">
        <f>SUM(F94:Q94)</f>
        <v>564067.35</v>
      </c>
    </row>
    <row r="95" spans="1:18" ht="41.25" customHeight="1">
      <c r="A95" s="89"/>
      <c r="B95" s="12" t="s">
        <v>3</v>
      </c>
      <c r="C95" s="32"/>
      <c r="D95" s="32"/>
      <c r="E95" s="39">
        <f>R95</f>
        <v>0.65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15">
        <v>0.65</v>
      </c>
    </row>
    <row r="96" spans="1:18" ht="41.25" customHeight="1">
      <c r="A96" s="90"/>
      <c r="B96" s="80" t="s">
        <v>92</v>
      </c>
      <c r="C96" s="81"/>
      <c r="D96" s="82"/>
      <c r="E96" s="84">
        <f>E92</f>
        <v>564068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5"/>
    </row>
    <row r="97" spans="1:18" ht="41.25" customHeight="1">
      <c r="A97" s="92" t="s">
        <v>8</v>
      </c>
      <c r="B97" s="93"/>
      <c r="C97" s="94"/>
      <c r="D97" s="35" t="s">
        <v>76</v>
      </c>
      <c r="E97" s="36">
        <f>SUM(E99:E101)</f>
        <v>224779.99999999997</v>
      </c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6"/>
    </row>
    <row r="98" spans="1:18" ht="41.25" customHeight="1">
      <c r="A98" s="40" t="s">
        <v>45</v>
      </c>
      <c r="B98" s="38"/>
      <c r="C98" s="10">
        <f>SUM(C99:C102)</f>
        <v>10</v>
      </c>
      <c r="D98" s="78" t="s">
        <v>2</v>
      </c>
      <c r="E98" s="79">
        <f>SUM(E99:E100)</f>
        <v>223174.97999999998</v>
      </c>
      <c r="F98" s="17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9"/>
    </row>
    <row r="99" spans="1:18" ht="41.25" customHeight="1">
      <c r="A99" s="88"/>
      <c r="B99" s="11" t="s">
        <v>5</v>
      </c>
      <c r="C99" s="12">
        <v>3</v>
      </c>
      <c r="D99" s="12" t="s">
        <v>31</v>
      </c>
      <c r="E99" s="15">
        <f>R99</f>
        <v>65545.2</v>
      </c>
      <c r="F99" s="15"/>
      <c r="G99" s="15"/>
      <c r="H99" s="15">
        <f>((71.4*31)*C99)</f>
        <v>6640.2000000000007</v>
      </c>
      <c r="I99" s="15">
        <f>((71.4*30)*C99)</f>
        <v>6426</v>
      </c>
      <c r="J99" s="15">
        <f>((71.4*31)*C99)</f>
        <v>6640.2000000000007</v>
      </c>
      <c r="K99" s="15">
        <f>((71.4*30)*C99)</f>
        <v>6426</v>
      </c>
      <c r="L99" s="15">
        <f>((71.4*31)*C99)</f>
        <v>6640.2000000000007</v>
      </c>
      <c r="M99" s="15">
        <f>((71.4*31)*C99)</f>
        <v>6640.2000000000007</v>
      </c>
      <c r="N99" s="15">
        <f>((71.4*30)*C99)</f>
        <v>6426</v>
      </c>
      <c r="O99" s="15">
        <f>((71.4*31)*C99)</f>
        <v>6640.2000000000007</v>
      </c>
      <c r="P99" s="15">
        <f>((71.4*30)*C99)</f>
        <v>6426</v>
      </c>
      <c r="Q99" s="15">
        <f>((71.4*31)*C99)</f>
        <v>6640.2000000000007</v>
      </c>
      <c r="R99" s="15">
        <f>SUM(F99:Q99)</f>
        <v>65545.2</v>
      </c>
    </row>
    <row r="100" spans="1:18" ht="41.25" customHeight="1">
      <c r="A100" s="89"/>
      <c r="B100" s="10" t="s">
        <v>7</v>
      </c>
      <c r="C100" s="12">
        <v>7</v>
      </c>
      <c r="D100" s="12" t="s">
        <v>31</v>
      </c>
      <c r="E100" s="15">
        <f>R100</f>
        <v>157629.78</v>
      </c>
      <c r="F100" s="15"/>
      <c r="G100" s="15"/>
      <c r="H100" s="15">
        <f>((73.59*31)*C100)</f>
        <v>15969.029999999999</v>
      </c>
      <c r="I100" s="15">
        <f>((73.59*30)*C100)</f>
        <v>15453.900000000001</v>
      </c>
      <c r="J100" s="15">
        <f>((73.59*31)*C100)</f>
        <v>15969.029999999999</v>
      </c>
      <c r="K100" s="15">
        <f>((73.59*30)*C100)</f>
        <v>15453.900000000001</v>
      </c>
      <c r="L100" s="15">
        <f>((73.59*31)*C100)</f>
        <v>15969.029999999999</v>
      </c>
      <c r="M100" s="15">
        <f>((73.59*31)*C100)</f>
        <v>15969.029999999999</v>
      </c>
      <c r="N100" s="15">
        <f>((73.59*30)*C100)</f>
        <v>15453.900000000001</v>
      </c>
      <c r="O100" s="15">
        <f>((73.59*31)*C100)</f>
        <v>15969.029999999999</v>
      </c>
      <c r="P100" s="15">
        <f>((73.59*30)*C100)</f>
        <v>15453.900000000001</v>
      </c>
      <c r="Q100" s="15">
        <f>((73.59*31)*C100)</f>
        <v>15969.029999999999</v>
      </c>
      <c r="R100" s="15">
        <f>SUM(F100:Q100)</f>
        <v>157629.78</v>
      </c>
    </row>
    <row r="101" spans="1:18" ht="41.25" customHeight="1">
      <c r="A101" s="90"/>
      <c r="B101" s="12" t="s">
        <v>3</v>
      </c>
      <c r="C101" s="43"/>
      <c r="D101" s="45"/>
      <c r="E101" s="46">
        <f>R101</f>
        <v>1605.02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>
        <v>1605.02</v>
      </c>
    </row>
    <row r="102" spans="1:18" ht="41.25" customHeight="1">
      <c r="A102" s="92" t="s">
        <v>12</v>
      </c>
      <c r="B102" s="93"/>
      <c r="C102" s="94"/>
      <c r="D102" s="47" t="s">
        <v>76</v>
      </c>
      <c r="E102" s="41">
        <f>SUM(E104:E106)</f>
        <v>402906</v>
      </c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16"/>
    </row>
    <row r="103" spans="1:18" ht="41.25" customHeight="1">
      <c r="A103" s="40" t="s">
        <v>46</v>
      </c>
      <c r="B103" s="38"/>
      <c r="C103" s="10">
        <f>SUM(C104:C105)</f>
        <v>18</v>
      </c>
      <c r="D103" s="78" t="s">
        <v>2</v>
      </c>
      <c r="E103" s="79">
        <f>SUM(E104:E105)</f>
        <v>400844.73</v>
      </c>
      <c r="F103" s="17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9"/>
    </row>
    <row r="104" spans="1:18" ht="41.25" customHeight="1">
      <c r="A104" s="88"/>
      <c r="B104" s="10" t="s">
        <v>7</v>
      </c>
      <c r="C104" s="12">
        <v>17</v>
      </c>
      <c r="D104" s="12" t="s">
        <v>31</v>
      </c>
      <c r="E104" s="15">
        <f>R104</f>
        <v>382815.18</v>
      </c>
      <c r="F104" s="15"/>
      <c r="G104" s="15"/>
      <c r="H104" s="15">
        <f>((73.59*31)*C104)</f>
        <v>38781.93</v>
      </c>
      <c r="I104" s="15">
        <f>((73.59*30)*C104)</f>
        <v>37530.9</v>
      </c>
      <c r="J104" s="15">
        <f>((73.59*31)*C104)</f>
        <v>38781.93</v>
      </c>
      <c r="K104" s="15">
        <f>((73.59*30)*C104)</f>
        <v>37530.9</v>
      </c>
      <c r="L104" s="15">
        <f>((73.59*31)*C104)</f>
        <v>38781.93</v>
      </c>
      <c r="M104" s="15">
        <f>((73.59*31)*C104)</f>
        <v>38781.93</v>
      </c>
      <c r="N104" s="15">
        <f>((73.59*30)*C104)</f>
        <v>37530.9</v>
      </c>
      <c r="O104" s="15">
        <f>((73.59*31)*C104)</f>
        <v>38781.93</v>
      </c>
      <c r="P104" s="15">
        <f>((73.59*30)*C104)</f>
        <v>37530.9</v>
      </c>
      <c r="Q104" s="15">
        <f>((73.59*31)*C104)</f>
        <v>38781.93</v>
      </c>
      <c r="R104" s="15">
        <f>SUM(F104:Q104)</f>
        <v>382815.18</v>
      </c>
    </row>
    <row r="105" spans="1:18" ht="41.25" customHeight="1">
      <c r="A105" s="89"/>
      <c r="B105" s="10" t="s">
        <v>7</v>
      </c>
      <c r="C105" s="12">
        <v>1</v>
      </c>
      <c r="D105" s="12" t="s">
        <v>43</v>
      </c>
      <c r="E105" s="15">
        <f>R105</f>
        <v>18029.550000000003</v>
      </c>
      <c r="F105" s="15"/>
      <c r="G105" s="15"/>
      <c r="H105" s="15">
        <f>((73.59*31)*C105)</f>
        <v>2281.29</v>
      </c>
      <c r="I105" s="15">
        <f>((73.59*30)*C105)</f>
        <v>2207.7000000000003</v>
      </c>
      <c r="J105" s="15">
        <f>((73.59*31)*C105)</f>
        <v>2281.29</v>
      </c>
      <c r="K105" s="15">
        <f>((73.59*30)*C105)</f>
        <v>2207.7000000000003</v>
      </c>
      <c r="L105" s="15">
        <f>((73.59*31)*C105)</f>
        <v>2281.29</v>
      </c>
      <c r="M105" s="15">
        <f>((73.59*31)*C105)</f>
        <v>2281.29</v>
      </c>
      <c r="N105" s="15">
        <f>((73.59*30)*C105)</f>
        <v>2207.7000000000003</v>
      </c>
      <c r="O105" s="15">
        <f>((73.59*31)*C105)</f>
        <v>2281.29</v>
      </c>
      <c r="P105" s="15"/>
      <c r="Q105" s="15"/>
      <c r="R105" s="15">
        <f>SUM(F105:Q105)</f>
        <v>18029.550000000003</v>
      </c>
    </row>
    <row r="106" spans="1:18" ht="41.25" customHeight="1">
      <c r="A106" s="90"/>
      <c r="B106" s="12" t="s">
        <v>3</v>
      </c>
      <c r="C106" s="43"/>
      <c r="D106" s="45"/>
      <c r="E106" s="39">
        <f>R106</f>
        <v>2061.27</v>
      </c>
      <c r="F106" s="45"/>
      <c r="G106" s="45"/>
      <c r="H106" s="45"/>
      <c r="I106" s="14"/>
      <c r="J106" s="14"/>
      <c r="K106" s="14"/>
      <c r="L106" s="14"/>
      <c r="M106" s="14"/>
      <c r="N106" s="14"/>
      <c r="O106" s="14"/>
      <c r="P106" s="14"/>
      <c r="Q106" s="14"/>
      <c r="R106" s="58">
        <v>2061.27</v>
      </c>
    </row>
    <row r="107" spans="1:18" ht="41.25" customHeight="1">
      <c r="A107" s="92" t="s">
        <v>16</v>
      </c>
      <c r="B107" s="93"/>
      <c r="C107" s="94"/>
      <c r="D107" s="35" t="s">
        <v>76</v>
      </c>
      <c r="E107" s="36">
        <f>SUM(E109:E111)</f>
        <v>402906</v>
      </c>
      <c r="F107" s="20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2"/>
    </row>
    <row r="108" spans="1:18" ht="41.25" customHeight="1">
      <c r="A108" s="40" t="s">
        <v>47</v>
      </c>
      <c r="B108" s="38"/>
      <c r="C108" s="10">
        <f>SUM(C109:C110)</f>
        <v>18</v>
      </c>
      <c r="D108" s="78" t="s">
        <v>2</v>
      </c>
      <c r="E108" s="79">
        <f>SUM(E109:E110)</f>
        <v>400844.73</v>
      </c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5"/>
    </row>
    <row r="109" spans="1:18" ht="41.25" customHeight="1">
      <c r="A109" s="51"/>
      <c r="B109" s="55" t="s">
        <v>7</v>
      </c>
      <c r="C109" s="12">
        <v>17</v>
      </c>
      <c r="D109" s="12" t="s">
        <v>31</v>
      </c>
      <c r="E109" s="15">
        <f>R109</f>
        <v>382815.18</v>
      </c>
      <c r="F109" s="15"/>
      <c r="G109" s="15"/>
      <c r="H109" s="15">
        <f>((73.59*31)*C109)</f>
        <v>38781.93</v>
      </c>
      <c r="I109" s="15">
        <f>((73.59*30)*C109)</f>
        <v>37530.9</v>
      </c>
      <c r="J109" s="15">
        <f>((73.59*31)*C109)</f>
        <v>38781.93</v>
      </c>
      <c r="K109" s="15">
        <f>((73.59*30)*C109)</f>
        <v>37530.9</v>
      </c>
      <c r="L109" s="15">
        <f>((73.59*31)*C109)</f>
        <v>38781.93</v>
      </c>
      <c r="M109" s="15">
        <f>((73.59*31)*C109)</f>
        <v>38781.93</v>
      </c>
      <c r="N109" s="15">
        <f>((73.59*30)*C109)</f>
        <v>37530.9</v>
      </c>
      <c r="O109" s="15">
        <f>((73.59*31)*C109)</f>
        <v>38781.93</v>
      </c>
      <c r="P109" s="15">
        <f>((73.59*30)*C109)</f>
        <v>37530.9</v>
      </c>
      <c r="Q109" s="15">
        <f>((73.59*31)*C109)</f>
        <v>38781.93</v>
      </c>
      <c r="R109" s="15">
        <f>SUM(H109:Q109)</f>
        <v>382815.18</v>
      </c>
    </row>
    <row r="110" spans="1:18" ht="41.25" customHeight="1">
      <c r="A110" s="52"/>
      <c r="B110" s="55" t="s">
        <v>7</v>
      </c>
      <c r="C110" s="12">
        <v>1</v>
      </c>
      <c r="D110" s="12" t="s">
        <v>43</v>
      </c>
      <c r="E110" s="15">
        <f>R110</f>
        <v>18029.550000000003</v>
      </c>
      <c r="F110" s="15"/>
      <c r="G110" s="15"/>
      <c r="H110" s="15">
        <f>((73.59*31)*C110)</f>
        <v>2281.29</v>
      </c>
      <c r="I110" s="15">
        <f>((73.59*30)*C110)</f>
        <v>2207.7000000000003</v>
      </c>
      <c r="J110" s="15">
        <f>((73.59*31)*C110)</f>
        <v>2281.29</v>
      </c>
      <c r="K110" s="15">
        <f>((73.59*30)*C110)</f>
        <v>2207.7000000000003</v>
      </c>
      <c r="L110" s="15">
        <f>((73.59*31)*C110)</f>
        <v>2281.29</v>
      </c>
      <c r="M110" s="15">
        <f>((73.59*31)*C110)</f>
        <v>2281.29</v>
      </c>
      <c r="N110" s="15">
        <f>((73.59*30)*C110)</f>
        <v>2207.7000000000003</v>
      </c>
      <c r="O110" s="15">
        <f>((73.59*31)*C110)</f>
        <v>2281.29</v>
      </c>
      <c r="P110" s="15"/>
      <c r="Q110" s="15"/>
      <c r="R110" s="15">
        <f>SUM(H110:Q110)</f>
        <v>18029.550000000003</v>
      </c>
    </row>
    <row r="111" spans="1:18" ht="41.25" customHeight="1">
      <c r="A111" s="53"/>
      <c r="B111" s="12" t="s">
        <v>3</v>
      </c>
      <c r="C111" s="43"/>
      <c r="D111" s="44"/>
      <c r="E111" s="15">
        <f>R111</f>
        <v>2061.27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>
        <v>2061.27</v>
      </c>
    </row>
    <row r="112" spans="1:18" ht="41.25" customHeight="1">
      <c r="A112" s="92" t="s">
        <v>18</v>
      </c>
      <c r="B112" s="93"/>
      <c r="C112" s="94"/>
      <c r="D112" s="35" t="s">
        <v>76</v>
      </c>
      <c r="E112" s="41">
        <f>SUM(E114:E116)</f>
        <v>268604.00000000006</v>
      </c>
      <c r="F112" s="20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2"/>
    </row>
    <row r="113" spans="1:18" ht="41.25" customHeight="1">
      <c r="A113" s="40" t="s">
        <v>48</v>
      </c>
      <c r="B113" s="38"/>
      <c r="C113" s="10">
        <f>SUM(C114:C115)</f>
        <v>12</v>
      </c>
      <c r="D113" s="78" t="s">
        <v>2</v>
      </c>
      <c r="E113" s="79">
        <f>SUM(E114:E115)</f>
        <v>267941.19000000006</v>
      </c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5"/>
    </row>
    <row r="114" spans="1:18" ht="41.25" customHeight="1">
      <c r="A114" s="88"/>
      <c r="B114" s="10" t="s">
        <v>7</v>
      </c>
      <c r="C114" s="12">
        <v>11</v>
      </c>
      <c r="D114" s="12" t="s">
        <v>31</v>
      </c>
      <c r="E114" s="15">
        <f>R114</f>
        <v>247703.94000000003</v>
      </c>
      <c r="F114" s="15"/>
      <c r="G114" s="15"/>
      <c r="H114" s="15">
        <f>((73.59*31)*C114)</f>
        <v>25094.19</v>
      </c>
      <c r="I114" s="15">
        <f>((73.59*30)*C114)</f>
        <v>24284.700000000004</v>
      </c>
      <c r="J114" s="15">
        <f>((73.59*31)*C114)</f>
        <v>25094.19</v>
      </c>
      <c r="K114" s="15">
        <f>((73.59*30)*C114)</f>
        <v>24284.700000000004</v>
      </c>
      <c r="L114" s="15">
        <f>((73.59*31)*C114)</f>
        <v>25094.19</v>
      </c>
      <c r="M114" s="15">
        <f>((73.59*31)*C114)</f>
        <v>25094.19</v>
      </c>
      <c r="N114" s="15">
        <f>((73.59*30)*C114)</f>
        <v>24284.700000000004</v>
      </c>
      <c r="O114" s="15">
        <f>((73.59*31)*C114)</f>
        <v>25094.19</v>
      </c>
      <c r="P114" s="15">
        <f>((73.59*30)*C114)</f>
        <v>24284.700000000004</v>
      </c>
      <c r="Q114" s="15">
        <f>((73.59*31)*C114)</f>
        <v>25094.19</v>
      </c>
      <c r="R114" s="15">
        <f>SUM(H114:Q114)</f>
        <v>247703.94000000003</v>
      </c>
    </row>
    <row r="115" spans="1:18" ht="41.25" customHeight="1">
      <c r="A115" s="89"/>
      <c r="B115" s="10" t="s">
        <v>7</v>
      </c>
      <c r="C115" s="12">
        <v>1</v>
      </c>
      <c r="D115" s="12" t="s">
        <v>40</v>
      </c>
      <c r="E115" s="15">
        <f>R115</f>
        <v>20237.250000000004</v>
      </c>
      <c r="F115" s="15"/>
      <c r="G115" s="15"/>
      <c r="H115" s="15">
        <f>((73.59*31)*C115)</f>
        <v>2281.29</v>
      </c>
      <c r="I115" s="15">
        <f>((73.59*30)*C115)</f>
        <v>2207.7000000000003</v>
      </c>
      <c r="J115" s="15">
        <f>((73.59*31)*C115)</f>
        <v>2281.29</v>
      </c>
      <c r="K115" s="15">
        <f>((73.59*30)*C115)</f>
        <v>2207.7000000000003</v>
      </c>
      <c r="L115" s="15">
        <f>((73.59*31)*C115)</f>
        <v>2281.29</v>
      </c>
      <c r="M115" s="15">
        <f>((73.59*31)*C115)</f>
        <v>2281.29</v>
      </c>
      <c r="N115" s="15">
        <f>((73.59*30)*C115)</f>
        <v>2207.7000000000003</v>
      </c>
      <c r="O115" s="15">
        <f>((73.59*31)*C115)</f>
        <v>2281.29</v>
      </c>
      <c r="P115" s="15">
        <f>((73.59*30)*C115)</f>
        <v>2207.7000000000003</v>
      </c>
      <c r="Q115" s="15"/>
      <c r="R115" s="15">
        <f>SUM(H115:Q115)</f>
        <v>20237.250000000004</v>
      </c>
    </row>
    <row r="116" spans="1:18" ht="41.25" customHeight="1">
      <c r="A116" s="90"/>
      <c r="B116" s="12" t="s">
        <v>3</v>
      </c>
      <c r="C116" s="45"/>
      <c r="D116" s="44"/>
      <c r="E116" s="15">
        <f>R116</f>
        <v>662.81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>
        <v>662.81</v>
      </c>
    </row>
    <row r="117" spans="1:18" ht="41.25" customHeight="1">
      <c r="A117" s="92" t="s">
        <v>98</v>
      </c>
      <c r="B117" s="93"/>
      <c r="C117" s="94"/>
      <c r="D117" s="35" t="s">
        <v>76</v>
      </c>
      <c r="E117" s="41">
        <f>SUM(E119:E121)</f>
        <v>537207</v>
      </c>
      <c r="F117" s="20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2"/>
    </row>
    <row r="118" spans="1:18" ht="41.25" customHeight="1">
      <c r="A118" s="40" t="s">
        <v>49</v>
      </c>
      <c r="B118" s="38"/>
      <c r="C118" s="10">
        <f>SUM(C119:C120)</f>
        <v>24</v>
      </c>
      <c r="D118" s="78" t="s">
        <v>2</v>
      </c>
      <c r="E118" s="79">
        <f>SUM(E119:E120)</f>
        <v>535955.97</v>
      </c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5"/>
    </row>
    <row r="119" spans="1:18" ht="41.25" customHeight="1">
      <c r="A119" s="88"/>
      <c r="B119" s="10" t="s">
        <v>7</v>
      </c>
      <c r="C119" s="12">
        <v>23</v>
      </c>
      <c r="D119" s="12" t="s">
        <v>31</v>
      </c>
      <c r="E119" s="15">
        <f>R119</f>
        <v>517926.42</v>
      </c>
      <c r="F119" s="15"/>
      <c r="G119" s="15"/>
      <c r="H119" s="15">
        <f>((73.59*31)*C119)</f>
        <v>52469.67</v>
      </c>
      <c r="I119" s="15">
        <f>((73.59*30)*C119)</f>
        <v>50777.100000000006</v>
      </c>
      <c r="J119" s="15">
        <f>((73.59*31)*C119)</f>
        <v>52469.67</v>
      </c>
      <c r="K119" s="15">
        <f>((73.59*30)*C119)</f>
        <v>50777.100000000006</v>
      </c>
      <c r="L119" s="15">
        <f>((73.59*31)*C119)</f>
        <v>52469.67</v>
      </c>
      <c r="M119" s="15">
        <f>((73.59*31)*C119)</f>
        <v>52469.67</v>
      </c>
      <c r="N119" s="15">
        <f>((73.59*30)*C119)</f>
        <v>50777.100000000006</v>
      </c>
      <c r="O119" s="15">
        <f>((73.59*31)*C119)</f>
        <v>52469.67</v>
      </c>
      <c r="P119" s="15">
        <f>((73.59*30)*C119)</f>
        <v>50777.100000000006</v>
      </c>
      <c r="Q119" s="15">
        <f>((73.59*31)*C119)</f>
        <v>52469.67</v>
      </c>
      <c r="R119" s="15">
        <f>SUM(H119:Q119)</f>
        <v>517926.42</v>
      </c>
    </row>
    <row r="120" spans="1:18" ht="41.25" customHeight="1">
      <c r="A120" s="89"/>
      <c r="B120" s="10" t="s">
        <v>7</v>
      </c>
      <c r="C120" s="12">
        <v>1</v>
      </c>
      <c r="D120" s="12" t="s">
        <v>43</v>
      </c>
      <c r="E120" s="15">
        <f>R120</f>
        <v>18029.550000000003</v>
      </c>
      <c r="F120" s="15"/>
      <c r="G120" s="15"/>
      <c r="H120" s="15">
        <f>((73.59*31)*C120)</f>
        <v>2281.29</v>
      </c>
      <c r="I120" s="15">
        <f>((73.59*30)*C120)</f>
        <v>2207.7000000000003</v>
      </c>
      <c r="J120" s="15">
        <f>((73.59*31)*C120)</f>
        <v>2281.29</v>
      </c>
      <c r="K120" s="15">
        <f>((73.59*30)*C120)</f>
        <v>2207.7000000000003</v>
      </c>
      <c r="L120" s="15">
        <f>((73.59*31)*C120)</f>
        <v>2281.29</v>
      </c>
      <c r="M120" s="15">
        <f>((73.59*31)*C120)</f>
        <v>2281.29</v>
      </c>
      <c r="N120" s="15">
        <f>((73.59*30)*C120)</f>
        <v>2207.7000000000003</v>
      </c>
      <c r="O120" s="15">
        <f>((73.59*31)*C120)</f>
        <v>2281.29</v>
      </c>
      <c r="P120" s="15"/>
      <c r="Q120" s="15"/>
      <c r="R120" s="15">
        <f>SUM(H120:Q120)</f>
        <v>18029.550000000003</v>
      </c>
    </row>
    <row r="121" spans="1:18" ht="41.25" customHeight="1">
      <c r="A121" s="90"/>
      <c r="B121" s="12" t="s">
        <v>3</v>
      </c>
      <c r="C121" s="43"/>
      <c r="D121" s="44"/>
      <c r="E121" s="13">
        <f>R121</f>
        <v>1251.03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>
        <v>1251.03</v>
      </c>
    </row>
    <row r="122" spans="1:18" ht="41.25" customHeight="1">
      <c r="A122" s="92" t="s">
        <v>23</v>
      </c>
      <c r="B122" s="93"/>
      <c r="C122" s="94"/>
      <c r="D122" s="35" t="s">
        <v>76</v>
      </c>
      <c r="E122" s="41">
        <f>SUM(E124:E126)</f>
        <v>940112.99999999977</v>
      </c>
      <c r="F122" s="20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2"/>
    </row>
    <row r="123" spans="1:18" ht="41.25" customHeight="1">
      <c r="A123" s="40" t="s">
        <v>50</v>
      </c>
      <c r="B123" s="38"/>
      <c r="C123" s="10">
        <f>SUM(C124:C125)</f>
        <v>42</v>
      </c>
      <c r="D123" s="78" t="s">
        <v>2</v>
      </c>
      <c r="E123" s="79">
        <f>SUM(E124:E125)</f>
        <v>939008.40000000026</v>
      </c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5"/>
    </row>
    <row r="124" spans="1:18" ht="41.25" customHeight="1">
      <c r="A124" s="88"/>
      <c r="B124" s="10" t="s">
        <v>7</v>
      </c>
      <c r="C124" s="12">
        <v>41</v>
      </c>
      <c r="D124" s="12" t="s">
        <v>31</v>
      </c>
      <c r="E124" s="15">
        <f>R124</f>
        <v>923260.14000000025</v>
      </c>
      <c r="F124" s="15"/>
      <c r="G124" s="15"/>
      <c r="H124" s="15">
        <f>((73.59*31)*C124)</f>
        <v>93532.89</v>
      </c>
      <c r="I124" s="15">
        <f>((73.59*30)*C124)</f>
        <v>90515.700000000012</v>
      </c>
      <c r="J124" s="15">
        <f>((73.59*31)*C124)</f>
        <v>93532.89</v>
      </c>
      <c r="K124" s="15">
        <f>((73.59*30)*C124)</f>
        <v>90515.700000000012</v>
      </c>
      <c r="L124" s="15">
        <f>((73.59*31)*C124)</f>
        <v>93532.89</v>
      </c>
      <c r="M124" s="15">
        <f>((73.59*31)*C124)</f>
        <v>93532.89</v>
      </c>
      <c r="N124" s="15">
        <f>((73.59*30)*C124)</f>
        <v>90515.700000000012</v>
      </c>
      <c r="O124" s="15">
        <f>((73.59*31)*C124)</f>
        <v>93532.89</v>
      </c>
      <c r="P124" s="15">
        <f>((73.59*30)*C124)</f>
        <v>90515.700000000012</v>
      </c>
      <c r="Q124" s="15">
        <f>((73.59*31)*C124)</f>
        <v>93532.89</v>
      </c>
      <c r="R124" s="15">
        <f>SUM(H124:Q124)</f>
        <v>923260.14000000025</v>
      </c>
    </row>
    <row r="125" spans="1:18" ht="41.25" customHeight="1">
      <c r="A125" s="89"/>
      <c r="B125" s="10" t="s">
        <v>7</v>
      </c>
      <c r="C125" s="12">
        <v>1</v>
      </c>
      <c r="D125" s="12" t="s">
        <v>32</v>
      </c>
      <c r="E125" s="15">
        <f>R125</f>
        <v>15748.260000000002</v>
      </c>
      <c r="F125" s="15"/>
      <c r="G125" s="15"/>
      <c r="H125" s="15">
        <f>((73.59*31)*C125)</f>
        <v>2281.29</v>
      </c>
      <c r="I125" s="15">
        <f>((73.59*30)*C125)</f>
        <v>2207.7000000000003</v>
      </c>
      <c r="J125" s="15">
        <f>((73.59*31)*C125)</f>
        <v>2281.29</v>
      </c>
      <c r="K125" s="15">
        <f>((73.59*30)*C125)</f>
        <v>2207.7000000000003</v>
      </c>
      <c r="L125" s="15">
        <f>((73.59*31)*C125)</f>
        <v>2281.29</v>
      </c>
      <c r="M125" s="15">
        <f>((73.59*31)*C125)</f>
        <v>2281.29</v>
      </c>
      <c r="N125" s="15">
        <f>((73.59*30)*C125)</f>
        <v>2207.7000000000003</v>
      </c>
      <c r="O125" s="15"/>
      <c r="P125" s="15"/>
      <c r="Q125" s="15"/>
      <c r="R125" s="15">
        <f>SUM(H125:Q125)</f>
        <v>15748.260000000002</v>
      </c>
    </row>
    <row r="126" spans="1:18" ht="41.25" customHeight="1">
      <c r="A126" s="90"/>
      <c r="B126" s="12" t="s">
        <v>3</v>
      </c>
      <c r="C126" s="45"/>
      <c r="D126" s="44"/>
      <c r="E126" s="13">
        <f>R126</f>
        <v>1104.5999999995111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5">
        <v>1104.5999999995111</v>
      </c>
    </row>
    <row r="127" spans="1:18" ht="41.25" customHeight="1">
      <c r="A127" s="92" t="s">
        <v>99</v>
      </c>
      <c r="B127" s="93"/>
      <c r="C127" s="94"/>
      <c r="D127" s="35" t="s">
        <v>76</v>
      </c>
      <c r="E127" s="41">
        <f>SUM(E129:E131)</f>
        <v>13645058.000000196</v>
      </c>
      <c r="F127" s="20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2"/>
    </row>
    <row r="128" spans="1:18" ht="41.25" customHeight="1">
      <c r="A128" s="40" t="s">
        <v>51</v>
      </c>
      <c r="B128" s="38"/>
      <c r="C128" s="10">
        <f>SUM(C129:C130)</f>
        <v>606</v>
      </c>
      <c r="D128" s="78" t="s">
        <v>2</v>
      </c>
      <c r="E128" s="79">
        <f>SUM(E129:E130)</f>
        <v>13643953.949999999</v>
      </c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5"/>
    </row>
    <row r="129" spans="1:18" ht="41.25" customHeight="1">
      <c r="A129" s="51"/>
      <c r="B129" s="10" t="s">
        <v>7</v>
      </c>
      <c r="C129" s="12">
        <v>605</v>
      </c>
      <c r="D129" s="12" t="s">
        <v>31</v>
      </c>
      <c r="E129" s="15">
        <f>R129</f>
        <v>13623716.699999999</v>
      </c>
      <c r="F129" s="15"/>
      <c r="G129" s="15"/>
      <c r="H129" s="15">
        <f>((73.59*31)*C129)</f>
        <v>1380180.45</v>
      </c>
      <c r="I129" s="15">
        <f>((73.59*30)*C129)</f>
        <v>1335658.5000000002</v>
      </c>
      <c r="J129" s="15">
        <f>((73.59*31)*C129)</f>
        <v>1380180.45</v>
      </c>
      <c r="K129" s="15">
        <f>((73.59*30)*C129)</f>
        <v>1335658.5000000002</v>
      </c>
      <c r="L129" s="15">
        <f>((73.59*31)*C129)</f>
        <v>1380180.45</v>
      </c>
      <c r="M129" s="15">
        <f>((73.59*31)*C129)</f>
        <v>1380180.45</v>
      </c>
      <c r="N129" s="15">
        <f>((73.59*30)*C129)</f>
        <v>1335658.5000000002</v>
      </c>
      <c r="O129" s="15">
        <f>((73.59*31)*C129)</f>
        <v>1380180.45</v>
      </c>
      <c r="P129" s="15">
        <f>((73.59*30)*C129)</f>
        <v>1335658.5000000002</v>
      </c>
      <c r="Q129" s="15">
        <f>((73.59*31)*C129)</f>
        <v>1380180.45</v>
      </c>
      <c r="R129" s="15">
        <f>SUM(H129:Q129)</f>
        <v>13623716.699999999</v>
      </c>
    </row>
    <row r="130" spans="1:18" ht="41.25" customHeight="1">
      <c r="A130" s="52"/>
      <c r="B130" s="10" t="s">
        <v>7</v>
      </c>
      <c r="C130" s="12">
        <v>1</v>
      </c>
      <c r="D130" s="12" t="s">
        <v>40</v>
      </c>
      <c r="E130" s="15">
        <f>R130</f>
        <v>20237.250000000004</v>
      </c>
      <c r="F130" s="15"/>
      <c r="G130" s="15"/>
      <c r="H130" s="15">
        <f>((73.59*31)*C130)</f>
        <v>2281.29</v>
      </c>
      <c r="I130" s="15">
        <f>((73.59*30)*C130)</f>
        <v>2207.7000000000003</v>
      </c>
      <c r="J130" s="15">
        <f>((73.59*31)*C130)</f>
        <v>2281.29</v>
      </c>
      <c r="K130" s="15">
        <f>((73.59*30)*C130)</f>
        <v>2207.7000000000003</v>
      </c>
      <c r="L130" s="15">
        <f>((73.59*31)*C130)</f>
        <v>2281.29</v>
      </c>
      <c r="M130" s="15">
        <f>((73.59*31)*C130)</f>
        <v>2281.29</v>
      </c>
      <c r="N130" s="15">
        <f>((73.59*30)*C130)</f>
        <v>2207.7000000000003</v>
      </c>
      <c r="O130" s="15">
        <f>((73.59*31)*C130)</f>
        <v>2281.29</v>
      </c>
      <c r="P130" s="15">
        <f>((73.59*30)*C130)</f>
        <v>2207.7000000000003</v>
      </c>
      <c r="Q130" s="15"/>
      <c r="R130" s="15">
        <f>SUM(H130:Q130)</f>
        <v>20237.250000000004</v>
      </c>
    </row>
    <row r="131" spans="1:18" ht="41.25" customHeight="1">
      <c r="A131" s="53"/>
      <c r="B131" s="12" t="s">
        <v>3</v>
      </c>
      <c r="C131" s="45"/>
      <c r="D131" s="44"/>
      <c r="E131" s="15">
        <f>R131</f>
        <v>1104.0500001963228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5">
        <v>1104.0500001963228</v>
      </c>
    </row>
    <row r="132" spans="1:18" ht="41.25" customHeight="1">
      <c r="A132" s="92" t="s">
        <v>100</v>
      </c>
      <c r="B132" s="93"/>
      <c r="C132" s="94"/>
      <c r="D132" s="35" t="s">
        <v>76</v>
      </c>
      <c r="E132" s="41">
        <f>SUM(E134:E136)</f>
        <v>1020693.9999999995</v>
      </c>
      <c r="F132" s="20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2"/>
    </row>
    <row r="133" spans="1:18" ht="41.25" customHeight="1">
      <c r="A133" s="40" t="s">
        <v>52</v>
      </c>
      <c r="B133" s="38"/>
      <c r="C133" s="10">
        <f>SUM(C134:C135)</f>
        <v>46</v>
      </c>
      <c r="D133" s="78" t="s">
        <v>2</v>
      </c>
      <c r="E133" s="79">
        <f>SUM(E134:E135)</f>
        <v>1020104.5800000002</v>
      </c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5"/>
    </row>
    <row r="134" spans="1:18" ht="41.25" customHeight="1">
      <c r="A134" s="51"/>
      <c r="B134" s="10" t="s">
        <v>7</v>
      </c>
      <c r="C134" s="12">
        <v>45</v>
      </c>
      <c r="D134" s="12" t="s">
        <v>31</v>
      </c>
      <c r="E134" s="15">
        <f>R134</f>
        <v>1013334.3000000002</v>
      </c>
      <c r="F134" s="15"/>
      <c r="G134" s="15"/>
      <c r="H134" s="15">
        <f>((73.59*31)*C134)</f>
        <v>102658.05</v>
      </c>
      <c r="I134" s="15">
        <f>((73.59*30)*C134)</f>
        <v>99346.500000000015</v>
      </c>
      <c r="J134" s="15">
        <f>((73.59*31)*C134)</f>
        <v>102658.05</v>
      </c>
      <c r="K134" s="15">
        <f>((73.59*30)*C134)</f>
        <v>99346.500000000015</v>
      </c>
      <c r="L134" s="15">
        <f>((73.59*31)*C134)</f>
        <v>102658.05</v>
      </c>
      <c r="M134" s="15">
        <f>((73.59*31)*C134)</f>
        <v>102658.05</v>
      </c>
      <c r="N134" s="15">
        <f>((73.59*30)*C134)</f>
        <v>99346.500000000015</v>
      </c>
      <c r="O134" s="15">
        <f>((73.59*31)*C134)</f>
        <v>102658.05</v>
      </c>
      <c r="P134" s="15">
        <f>((73.59*30)*C134)</f>
        <v>99346.500000000015</v>
      </c>
      <c r="Q134" s="15">
        <f>((73.59*31)*C134)</f>
        <v>102658.05</v>
      </c>
      <c r="R134" s="15">
        <f>SUM(H134:Q134)</f>
        <v>1013334.3000000002</v>
      </c>
    </row>
    <row r="135" spans="1:18" ht="41.25" customHeight="1">
      <c r="A135" s="52"/>
      <c r="B135" s="10" t="s">
        <v>7</v>
      </c>
      <c r="C135" s="12">
        <v>1</v>
      </c>
      <c r="D135" s="12" t="s">
        <v>53</v>
      </c>
      <c r="E135" s="15">
        <f>R135</f>
        <v>6770.28</v>
      </c>
      <c r="F135" s="15"/>
      <c r="G135" s="15"/>
      <c r="H135" s="15">
        <f>((73.59*31)*C135)</f>
        <v>2281.29</v>
      </c>
      <c r="I135" s="15">
        <f>((73.59*30)*C135)</f>
        <v>2207.7000000000003</v>
      </c>
      <c r="J135" s="15">
        <f>((73.59*31)*C135)</f>
        <v>2281.29</v>
      </c>
      <c r="K135" s="15"/>
      <c r="L135" s="15"/>
      <c r="M135" s="15"/>
      <c r="N135" s="15"/>
      <c r="O135" s="15"/>
      <c r="P135" s="15"/>
      <c r="Q135" s="15"/>
      <c r="R135" s="15">
        <f>SUM(H135:Q135)</f>
        <v>6770.28</v>
      </c>
    </row>
    <row r="136" spans="1:18" ht="41.25" customHeight="1">
      <c r="A136" s="53"/>
      <c r="B136" s="12" t="s">
        <v>3</v>
      </c>
      <c r="C136" s="96"/>
      <c r="D136" s="97"/>
      <c r="E136" s="15">
        <f>R136</f>
        <v>589.41999999934342</v>
      </c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5">
        <v>589.41999999934342</v>
      </c>
    </row>
    <row r="137" spans="1:18" ht="41.25" customHeight="1">
      <c r="A137" s="92" t="s">
        <v>38</v>
      </c>
      <c r="B137" s="93"/>
      <c r="C137" s="94"/>
      <c r="D137" s="35" t="s">
        <v>76</v>
      </c>
      <c r="E137" s="41">
        <f>SUM(E139:E141)</f>
        <v>268604</v>
      </c>
      <c r="F137" s="20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2"/>
    </row>
    <row r="138" spans="1:18" ht="41.25" customHeight="1">
      <c r="A138" s="40" t="s">
        <v>54</v>
      </c>
      <c r="B138" s="38"/>
      <c r="C138" s="10">
        <f>SUM(C139:C140)</f>
        <v>12</v>
      </c>
      <c r="D138" s="78" t="s">
        <v>2</v>
      </c>
      <c r="E138" s="79">
        <f>SUM(E139:E140)</f>
        <v>267941.19000000006</v>
      </c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5"/>
    </row>
    <row r="139" spans="1:18" ht="41.25" customHeight="1">
      <c r="A139" s="51"/>
      <c r="B139" s="10" t="s">
        <v>7</v>
      </c>
      <c r="C139" s="12">
        <v>11</v>
      </c>
      <c r="D139" s="12" t="s">
        <v>31</v>
      </c>
      <c r="E139" s="15">
        <f>R139</f>
        <v>247703.94000000003</v>
      </c>
      <c r="F139" s="15"/>
      <c r="G139" s="15"/>
      <c r="H139" s="15">
        <f>((73.59*31)*C139)</f>
        <v>25094.19</v>
      </c>
      <c r="I139" s="15">
        <f>((73.59*30)*C139)</f>
        <v>24284.700000000004</v>
      </c>
      <c r="J139" s="15">
        <f>((73.59*31)*C139)</f>
        <v>25094.19</v>
      </c>
      <c r="K139" s="15">
        <f>((73.59*30)*C139)</f>
        <v>24284.700000000004</v>
      </c>
      <c r="L139" s="15">
        <f>((73.59*31)*C139)</f>
        <v>25094.19</v>
      </c>
      <c r="M139" s="15">
        <f>((73.59*31)*C139)</f>
        <v>25094.19</v>
      </c>
      <c r="N139" s="15">
        <f>((73.59*30)*C139)</f>
        <v>24284.700000000004</v>
      </c>
      <c r="O139" s="15">
        <f>((73.59*31)*C139)</f>
        <v>25094.19</v>
      </c>
      <c r="P139" s="15">
        <f>((73.59*30)*C139)</f>
        <v>24284.700000000004</v>
      </c>
      <c r="Q139" s="15">
        <f>((73.59*31)*C139)</f>
        <v>25094.19</v>
      </c>
      <c r="R139" s="15">
        <f>SUM(F139:Q139)</f>
        <v>247703.94000000003</v>
      </c>
    </row>
    <row r="140" spans="1:18" ht="41.25" customHeight="1">
      <c r="A140" s="52"/>
      <c r="B140" s="10" t="s">
        <v>7</v>
      </c>
      <c r="C140" s="12">
        <v>1</v>
      </c>
      <c r="D140" s="12" t="s">
        <v>40</v>
      </c>
      <c r="E140" s="15">
        <f>R140</f>
        <v>20237.250000000004</v>
      </c>
      <c r="F140" s="15"/>
      <c r="G140" s="15"/>
      <c r="H140" s="15">
        <f>((73.59*31)*C140)</f>
        <v>2281.29</v>
      </c>
      <c r="I140" s="15">
        <f>((73.59*30)*C140)</f>
        <v>2207.7000000000003</v>
      </c>
      <c r="J140" s="15">
        <f>((73.59*31)*C140)</f>
        <v>2281.29</v>
      </c>
      <c r="K140" s="15">
        <f>((73.59*30)*C140)</f>
        <v>2207.7000000000003</v>
      </c>
      <c r="L140" s="15">
        <f>((73.59*31)*C140)</f>
        <v>2281.29</v>
      </c>
      <c r="M140" s="15">
        <f>((73.59*31)*C140)</f>
        <v>2281.29</v>
      </c>
      <c r="N140" s="15">
        <f>((73.59*30)*C140)</f>
        <v>2207.7000000000003</v>
      </c>
      <c r="O140" s="15">
        <f>((73.59*31)*C140)</f>
        <v>2281.29</v>
      </c>
      <c r="P140" s="15">
        <f>((73.59*30)*C140)</f>
        <v>2207.7000000000003</v>
      </c>
      <c r="Q140" s="15"/>
      <c r="R140" s="15">
        <f>SUM(H140:Q140)</f>
        <v>20237.250000000004</v>
      </c>
    </row>
    <row r="141" spans="1:18" ht="41.25" customHeight="1">
      <c r="A141" s="53"/>
      <c r="B141" s="12" t="s">
        <v>3</v>
      </c>
      <c r="C141" s="43"/>
      <c r="D141" s="44"/>
      <c r="E141" s="15">
        <f>R141</f>
        <v>662.80999999993946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>
        <v>662.80999999993946</v>
      </c>
    </row>
    <row r="142" spans="1:18" ht="41.25" customHeight="1">
      <c r="A142" s="92" t="s">
        <v>41</v>
      </c>
      <c r="B142" s="93"/>
      <c r="C142" s="94"/>
      <c r="D142" s="35" t="s">
        <v>76</v>
      </c>
      <c r="E142" s="41">
        <f>SUM(E144:E146)</f>
        <v>268604</v>
      </c>
      <c r="F142" s="20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</row>
    <row r="143" spans="1:18" ht="41.25" customHeight="1">
      <c r="A143" s="40" t="s">
        <v>55</v>
      </c>
      <c r="B143" s="38"/>
      <c r="C143" s="10">
        <f>SUM(C144:C145)</f>
        <v>12</v>
      </c>
      <c r="D143" s="78" t="s">
        <v>2</v>
      </c>
      <c r="E143" s="79">
        <f>SUM(E144:E145)</f>
        <v>267941.19000000006</v>
      </c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5"/>
    </row>
    <row r="144" spans="1:18" ht="41.25" customHeight="1">
      <c r="A144" s="88"/>
      <c r="B144" s="10" t="s">
        <v>7</v>
      </c>
      <c r="C144" s="12">
        <v>11</v>
      </c>
      <c r="D144" s="12" t="s">
        <v>31</v>
      </c>
      <c r="E144" s="15">
        <f>R144</f>
        <v>247703.94000000003</v>
      </c>
      <c r="F144" s="15"/>
      <c r="G144" s="15"/>
      <c r="H144" s="15">
        <f>((73.59*31)*C144)</f>
        <v>25094.19</v>
      </c>
      <c r="I144" s="15">
        <f>((73.59*30)*C144)</f>
        <v>24284.700000000004</v>
      </c>
      <c r="J144" s="15">
        <f>((73.59*31)*C144)</f>
        <v>25094.19</v>
      </c>
      <c r="K144" s="15">
        <f>((73.59*30)*C144)</f>
        <v>24284.700000000004</v>
      </c>
      <c r="L144" s="15">
        <f>((73.59*31)*C144)</f>
        <v>25094.19</v>
      </c>
      <c r="M144" s="15">
        <f>((73.59*31)*C144)</f>
        <v>25094.19</v>
      </c>
      <c r="N144" s="15">
        <f>((73.59*30)*C144)</f>
        <v>24284.700000000004</v>
      </c>
      <c r="O144" s="15">
        <f>((73.59*31)*C144)</f>
        <v>25094.19</v>
      </c>
      <c r="P144" s="15">
        <f>((73.59*30)*C144)</f>
        <v>24284.700000000004</v>
      </c>
      <c r="Q144" s="15">
        <f>((73.59*31)*C144)</f>
        <v>25094.19</v>
      </c>
      <c r="R144" s="15">
        <f>SUM(H144:Q144)</f>
        <v>247703.94000000003</v>
      </c>
    </row>
    <row r="145" spans="1:18" ht="41.25" customHeight="1">
      <c r="A145" s="90"/>
      <c r="B145" s="10" t="s">
        <v>7</v>
      </c>
      <c r="C145" s="12">
        <v>1</v>
      </c>
      <c r="D145" s="12" t="s">
        <v>40</v>
      </c>
      <c r="E145" s="15">
        <f>R145</f>
        <v>20237.250000000004</v>
      </c>
      <c r="F145" s="15"/>
      <c r="G145" s="15"/>
      <c r="H145" s="15">
        <f>((73.59*31)*C145)</f>
        <v>2281.29</v>
      </c>
      <c r="I145" s="15">
        <f>((73.59*30)*C145)</f>
        <v>2207.7000000000003</v>
      </c>
      <c r="J145" s="15">
        <f>((73.59*31)*C145)</f>
        <v>2281.29</v>
      </c>
      <c r="K145" s="15">
        <f>((73.59*30)*C145)</f>
        <v>2207.7000000000003</v>
      </c>
      <c r="L145" s="15">
        <f>((73.59*31)*C145)</f>
        <v>2281.29</v>
      </c>
      <c r="M145" s="15">
        <f>((73.59*31)*C145)</f>
        <v>2281.29</v>
      </c>
      <c r="N145" s="15">
        <f>((73.59*30)*C145)</f>
        <v>2207.7000000000003</v>
      </c>
      <c r="O145" s="15">
        <f>((73.59*31)*C145)</f>
        <v>2281.29</v>
      </c>
      <c r="P145" s="15">
        <f>((73.59*30)*C145)</f>
        <v>2207.7000000000003</v>
      </c>
      <c r="Q145" s="15"/>
      <c r="R145" s="15">
        <f>SUM(H145:Q145)</f>
        <v>20237.250000000004</v>
      </c>
    </row>
    <row r="146" spans="1:18" ht="41.25" customHeight="1">
      <c r="A146" s="66"/>
      <c r="B146" s="12" t="s">
        <v>3</v>
      </c>
      <c r="C146" s="43"/>
      <c r="D146" s="44"/>
      <c r="E146" s="15">
        <f>R146</f>
        <v>662.80999999993901</v>
      </c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15">
        <v>662.80999999993901</v>
      </c>
    </row>
    <row r="147" spans="1:18" ht="41.25" customHeight="1">
      <c r="A147" s="66"/>
      <c r="B147" s="80" t="s">
        <v>93</v>
      </c>
      <c r="C147" s="81"/>
      <c r="D147" s="82"/>
      <c r="E147" s="26">
        <f>E97+E102+E107+E112+E117+E122+E127+E132+E137+E142</f>
        <v>17979476.000000194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5"/>
    </row>
    <row r="148" spans="1:18" ht="41.25" customHeight="1">
      <c r="A148" s="92" t="s">
        <v>18</v>
      </c>
      <c r="B148" s="93"/>
      <c r="C148" s="94"/>
      <c r="D148" s="35" t="s">
        <v>76</v>
      </c>
      <c r="E148" s="36">
        <f>SUM(E150:E151)</f>
        <v>20877.000000000004</v>
      </c>
      <c r="F148" s="20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2"/>
    </row>
    <row r="149" spans="1:18" ht="41.25" customHeight="1">
      <c r="A149" s="40" t="s">
        <v>56</v>
      </c>
      <c r="B149" s="38"/>
      <c r="C149" s="10">
        <f>SUM(C150:C150)</f>
        <v>1</v>
      </c>
      <c r="D149" s="78" t="s">
        <v>2</v>
      </c>
      <c r="E149" s="79">
        <f>SUM(E150)</f>
        <v>20237.250000000004</v>
      </c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5"/>
    </row>
    <row r="150" spans="1:18" ht="41.25" customHeight="1">
      <c r="A150" s="51"/>
      <c r="B150" s="10" t="s">
        <v>7</v>
      </c>
      <c r="C150" s="12">
        <v>1</v>
      </c>
      <c r="D150" s="12" t="s">
        <v>31</v>
      </c>
      <c r="E150" s="15">
        <f>R150</f>
        <v>20237.250000000004</v>
      </c>
      <c r="F150" s="15"/>
      <c r="G150" s="15"/>
      <c r="H150" s="15">
        <f>((73.59*31)*C150)</f>
        <v>2281.29</v>
      </c>
      <c r="I150" s="15">
        <f>((73.59*30)*C150)</f>
        <v>2207.7000000000003</v>
      </c>
      <c r="J150" s="15">
        <f>((73.59*31)*C150)</f>
        <v>2281.29</v>
      </c>
      <c r="K150" s="15">
        <f>((73.59*30)*C150)</f>
        <v>2207.7000000000003</v>
      </c>
      <c r="L150" s="15">
        <f>((73.59*31)*C150)</f>
        <v>2281.29</v>
      </c>
      <c r="M150" s="15">
        <f>((73.59*31)*C150)</f>
        <v>2281.29</v>
      </c>
      <c r="N150" s="15">
        <f>((73.59*30)*C150)</f>
        <v>2207.7000000000003</v>
      </c>
      <c r="O150" s="15">
        <f>((73.59*31)*C150)</f>
        <v>2281.29</v>
      </c>
      <c r="P150" s="15">
        <f>((73.59*30)*C150)</f>
        <v>2207.7000000000003</v>
      </c>
      <c r="Q150" s="15"/>
      <c r="R150" s="15">
        <f>SUM(H150:P150)</f>
        <v>20237.250000000004</v>
      </c>
    </row>
    <row r="151" spans="1:18" ht="41.25" customHeight="1">
      <c r="A151" s="53"/>
      <c r="B151" s="12" t="s">
        <v>3</v>
      </c>
      <c r="C151" s="96"/>
      <c r="D151" s="97"/>
      <c r="E151" s="15">
        <f>R151</f>
        <v>639.75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>
        <v>639.75</v>
      </c>
    </row>
    <row r="152" spans="1:18" ht="41.25" customHeight="1">
      <c r="A152" s="92" t="s">
        <v>23</v>
      </c>
      <c r="B152" s="93"/>
      <c r="C152" s="94"/>
      <c r="D152" s="35" t="s">
        <v>76</v>
      </c>
      <c r="E152" s="41">
        <f>SUM(E154:E156)</f>
        <v>73071.000000000015</v>
      </c>
      <c r="F152" s="20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2"/>
    </row>
    <row r="153" spans="1:18" ht="41.25" customHeight="1">
      <c r="A153" s="40" t="s">
        <v>57</v>
      </c>
      <c r="B153" s="38"/>
      <c r="C153" s="10">
        <f>SUM(C154:C155)</f>
        <v>4</v>
      </c>
      <c r="D153" s="78" t="s">
        <v>2</v>
      </c>
      <c r="E153" s="79">
        <f>SUM(E154:E155)</f>
        <v>72044.610000000015</v>
      </c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5"/>
    </row>
    <row r="154" spans="1:18" ht="41.25" customHeight="1">
      <c r="A154" s="51"/>
      <c r="B154" s="10" t="s">
        <v>7</v>
      </c>
      <c r="C154" s="12">
        <v>3</v>
      </c>
      <c r="D154" s="12" t="s">
        <v>31</v>
      </c>
      <c r="E154" s="15">
        <f>R154</f>
        <v>67555.62000000001</v>
      </c>
      <c r="F154" s="15"/>
      <c r="G154" s="15"/>
      <c r="H154" s="15">
        <f>((73.59*31)*C154)</f>
        <v>6843.87</v>
      </c>
      <c r="I154" s="15">
        <f>((73.59*30)*C154)</f>
        <v>6623.1</v>
      </c>
      <c r="J154" s="15">
        <f>((73.59*31)*C154)</f>
        <v>6843.87</v>
      </c>
      <c r="K154" s="15">
        <f>((73.59*30)*C154)</f>
        <v>6623.1</v>
      </c>
      <c r="L154" s="15">
        <f>((73.59*31)*C154)</f>
        <v>6843.87</v>
      </c>
      <c r="M154" s="15">
        <f>((73.59*31)*C154)</f>
        <v>6843.87</v>
      </c>
      <c r="N154" s="15">
        <f>((73.59*30)*C154)</f>
        <v>6623.1</v>
      </c>
      <c r="O154" s="15">
        <f>((73.59*31)*C154)</f>
        <v>6843.87</v>
      </c>
      <c r="P154" s="15">
        <f>((73.59*30)*C154)</f>
        <v>6623.1</v>
      </c>
      <c r="Q154" s="15">
        <f>((73.59*31)*C154)</f>
        <v>6843.87</v>
      </c>
      <c r="R154" s="15">
        <f>SUM(H154:Q154)</f>
        <v>67555.62000000001</v>
      </c>
    </row>
    <row r="155" spans="1:18" ht="41.25" customHeight="1">
      <c r="A155" s="52"/>
      <c r="B155" s="10" t="s">
        <v>7</v>
      </c>
      <c r="C155" s="12">
        <v>1</v>
      </c>
      <c r="D155" s="12" t="s">
        <v>58</v>
      </c>
      <c r="E155" s="15">
        <f>R155</f>
        <v>4488.99</v>
      </c>
      <c r="F155" s="15"/>
      <c r="G155" s="15"/>
      <c r="H155" s="15"/>
      <c r="I155" s="15">
        <f>((73.59*30)*C155)</f>
        <v>2207.7000000000003</v>
      </c>
      <c r="J155" s="15">
        <f>((73.59*31)*C155)</f>
        <v>2281.29</v>
      </c>
      <c r="K155" s="15"/>
      <c r="L155" s="15"/>
      <c r="M155" s="15"/>
      <c r="N155" s="15"/>
      <c r="O155" s="15"/>
      <c r="P155" s="15"/>
      <c r="Q155" s="15"/>
      <c r="R155" s="15">
        <f>SUM(I155:Q155)</f>
        <v>4488.99</v>
      </c>
    </row>
    <row r="156" spans="1:18" ht="41.25" customHeight="1">
      <c r="A156" s="53"/>
      <c r="B156" s="12" t="s">
        <v>3</v>
      </c>
      <c r="C156" s="43"/>
      <c r="D156" s="44"/>
      <c r="E156" s="13">
        <f>R156</f>
        <v>1026.3899999999994</v>
      </c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>
        <v>1026.3899999999994</v>
      </c>
    </row>
    <row r="157" spans="1:18" ht="41.25" customHeight="1">
      <c r="A157" s="92" t="s">
        <v>99</v>
      </c>
      <c r="B157" s="93"/>
      <c r="C157" s="94"/>
      <c r="D157" s="35" t="s">
        <v>76</v>
      </c>
      <c r="E157" s="41">
        <f>SUM(E159:E160)</f>
        <v>16639</v>
      </c>
      <c r="F157" s="20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2"/>
    </row>
    <row r="158" spans="1:18" ht="41.25" customHeight="1">
      <c r="A158" s="40" t="s">
        <v>59</v>
      </c>
      <c r="B158" s="38"/>
      <c r="C158" s="10">
        <f>SUM(C159:C159)</f>
        <v>1</v>
      </c>
      <c r="D158" s="78" t="s">
        <v>2</v>
      </c>
      <c r="E158" s="79">
        <f>SUM(E159)</f>
        <v>15748.260000000002</v>
      </c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5"/>
    </row>
    <row r="159" spans="1:18" ht="41.25" customHeight="1">
      <c r="A159" s="51"/>
      <c r="B159" s="55" t="s">
        <v>7</v>
      </c>
      <c r="C159" s="12">
        <v>1</v>
      </c>
      <c r="D159" s="12" t="s">
        <v>32</v>
      </c>
      <c r="E159" s="15">
        <f>R159</f>
        <v>15748.260000000002</v>
      </c>
      <c r="F159" s="15"/>
      <c r="G159" s="15"/>
      <c r="H159" s="15">
        <f>((73.59*31)*C159)</f>
        <v>2281.29</v>
      </c>
      <c r="I159" s="15">
        <f>((73.59*30)*C159)</f>
        <v>2207.7000000000003</v>
      </c>
      <c r="J159" s="15">
        <f>((73.59*31)*C159)</f>
        <v>2281.29</v>
      </c>
      <c r="K159" s="15">
        <f>((73.59*30)*C159)</f>
        <v>2207.7000000000003</v>
      </c>
      <c r="L159" s="15">
        <f>((73.59*31)*C159)</f>
        <v>2281.29</v>
      </c>
      <c r="M159" s="15">
        <f>((73.59*31)*C159)</f>
        <v>2281.29</v>
      </c>
      <c r="N159" s="15">
        <f>((73.59*30)*C159)</f>
        <v>2207.7000000000003</v>
      </c>
      <c r="O159" s="15"/>
      <c r="P159" s="15"/>
      <c r="Q159" s="15"/>
      <c r="R159" s="15">
        <f>SUM(H159:Q159)</f>
        <v>15748.260000000002</v>
      </c>
    </row>
    <row r="160" spans="1:18" ht="41.25" customHeight="1">
      <c r="A160" s="53"/>
      <c r="B160" s="12" t="s">
        <v>3</v>
      </c>
      <c r="C160" s="43"/>
      <c r="D160" s="44"/>
      <c r="E160" s="15">
        <f>R160</f>
        <v>890.73999999999978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>
        <v>890.73999999999978</v>
      </c>
    </row>
    <row r="161" spans="1:18" ht="41.25" customHeight="1">
      <c r="A161" s="92" t="s">
        <v>100</v>
      </c>
      <c r="B161" s="93"/>
      <c r="C161" s="94"/>
      <c r="D161" s="35" t="s">
        <v>76</v>
      </c>
      <c r="E161" s="41">
        <f>SUM(E163:E165)</f>
        <v>64860.000000000007</v>
      </c>
      <c r="F161" s="20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2"/>
    </row>
    <row r="162" spans="1:18" ht="41.25" customHeight="1">
      <c r="A162" s="40" t="s">
        <v>60</v>
      </c>
      <c r="B162" s="38"/>
      <c r="C162" s="10">
        <f>SUM(C163:C164)</f>
        <v>3</v>
      </c>
      <c r="D162" s="78" t="s">
        <v>2</v>
      </c>
      <c r="E162" s="79">
        <f>SUM(E163:E164)</f>
        <v>63066.630000000012</v>
      </c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5"/>
    </row>
    <row r="163" spans="1:18" ht="41.25" customHeight="1">
      <c r="A163" s="88"/>
      <c r="B163" s="55" t="s">
        <v>7</v>
      </c>
      <c r="C163" s="12">
        <v>2</v>
      </c>
      <c r="D163" s="12" t="s">
        <v>31</v>
      </c>
      <c r="E163" s="15">
        <f>R163</f>
        <v>45037.080000000009</v>
      </c>
      <c r="F163" s="15"/>
      <c r="G163" s="15"/>
      <c r="H163" s="15">
        <f>((73.59*31)*C163)</f>
        <v>4562.58</v>
      </c>
      <c r="I163" s="15">
        <f>((73.59*30)*C163)</f>
        <v>4415.4000000000005</v>
      </c>
      <c r="J163" s="15">
        <f>((73.59*31)*C163)</f>
        <v>4562.58</v>
      </c>
      <c r="K163" s="15">
        <f>((73.59*30)*C163)</f>
        <v>4415.4000000000005</v>
      </c>
      <c r="L163" s="15">
        <f>((73.59*31)*C163)</f>
        <v>4562.58</v>
      </c>
      <c r="M163" s="15">
        <f>((73.59*31)*C163)</f>
        <v>4562.58</v>
      </c>
      <c r="N163" s="15">
        <f>((73.59*30)*C163)</f>
        <v>4415.4000000000005</v>
      </c>
      <c r="O163" s="15">
        <f>((73.59*31)*C163)</f>
        <v>4562.58</v>
      </c>
      <c r="P163" s="15">
        <f>((73.59*30)*C163)</f>
        <v>4415.4000000000005</v>
      </c>
      <c r="Q163" s="15">
        <f>((73.59*31)*C163)</f>
        <v>4562.58</v>
      </c>
      <c r="R163" s="15">
        <f>SUM(H163:Q163)</f>
        <v>45037.080000000009</v>
      </c>
    </row>
    <row r="164" spans="1:18" ht="41.25" customHeight="1">
      <c r="A164" s="89"/>
      <c r="B164" s="55" t="s">
        <v>7</v>
      </c>
      <c r="C164" s="12">
        <v>1</v>
      </c>
      <c r="D164" s="12" t="s">
        <v>43</v>
      </c>
      <c r="E164" s="15">
        <f>R164</f>
        <v>18029.550000000003</v>
      </c>
      <c r="F164" s="15"/>
      <c r="G164" s="15"/>
      <c r="H164" s="15">
        <f>((73.59*31)*C164)</f>
        <v>2281.29</v>
      </c>
      <c r="I164" s="15">
        <f>((73.59*30)*C164)</f>
        <v>2207.7000000000003</v>
      </c>
      <c r="J164" s="15">
        <f>((73.59*31)*C164)</f>
        <v>2281.29</v>
      </c>
      <c r="K164" s="15">
        <f>((73.59*30)*C164)</f>
        <v>2207.7000000000003</v>
      </c>
      <c r="L164" s="15">
        <f>((73.59*31)*C164)</f>
        <v>2281.29</v>
      </c>
      <c r="M164" s="15">
        <f>((73.59*31)*C164)</f>
        <v>2281.29</v>
      </c>
      <c r="N164" s="15">
        <f>((73.59*30)*C164)</f>
        <v>2207.7000000000003</v>
      </c>
      <c r="O164" s="15">
        <f>((73.59*31)*C164)</f>
        <v>2281.29</v>
      </c>
      <c r="P164" s="15"/>
      <c r="Q164" s="15"/>
      <c r="R164" s="15">
        <f>SUM(H164:Q164)</f>
        <v>18029.550000000003</v>
      </c>
    </row>
    <row r="165" spans="1:18" ht="41.25" customHeight="1">
      <c r="A165" s="90"/>
      <c r="B165" s="12" t="s">
        <v>3</v>
      </c>
      <c r="C165" s="96"/>
      <c r="D165" s="97"/>
      <c r="E165" s="15">
        <f>R165</f>
        <v>1793.3699999999953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>
        <v>1793.3699999999953</v>
      </c>
    </row>
    <row r="166" spans="1:18" ht="41.25" customHeight="1">
      <c r="A166" s="92" t="s">
        <v>38</v>
      </c>
      <c r="B166" s="93"/>
      <c r="C166" s="94"/>
      <c r="D166" s="47" t="s">
        <v>76</v>
      </c>
      <c r="E166" s="41">
        <f>SUM(E168:E169)</f>
        <v>20877.000000000004</v>
      </c>
      <c r="F166" s="20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2"/>
    </row>
    <row r="167" spans="1:18" ht="41.25" customHeight="1">
      <c r="A167" s="40" t="s">
        <v>61</v>
      </c>
      <c r="B167" s="38"/>
      <c r="C167" s="10">
        <f>SUM(C168:C168)</f>
        <v>1</v>
      </c>
      <c r="D167" s="78" t="s">
        <v>2</v>
      </c>
      <c r="E167" s="79">
        <f>SUM(E168)</f>
        <v>20237.250000000004</v>
      </c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5"/>
    </row>
    <row r="168" spans="1:18" ht="41.25" customHeight="1">
      <c r="A168" s="51"/>
      <c r="B168" s="10" t="s">
        <v>7</v>
      </c>
      <c r="C168" s="12">
        <v>1</v>
      </c>
      <c r="D168" s="12" t="s">
        <v>40</v>
      </c>
      <c r="E168" s="15">
        <f>R168</f>
        <v>20237.250000000004</v>
      </c>
      <c r="F168" s="15"/>
      <c r="G168" s="15"/>
      <c r="H168" s="15">
        <f>((73.59*31)*C168)</f>
        <v>2281.29</v>
      </c>
      <c r="I168" s="15">
        <f>((73.59*30)*C168)</f>
        <v>2207.7000000000003</v>
      </c>
      <c r="J168" s="15">
        <f>((73.59*31)*C168)</f>
        <v>2281.29</v>
      </c>
      <c r="K168" s="15">
        <f>((73.59*30)*C168)</f>
        <v>2207.7000000000003</v>
      </c>
      <c r="L168" s="15">
        <f>((73.59*31)*C168)</f>
        <v>2281.29</v>
      </c>
      <c r="M168" s="15">
        <f>((73.59*31)*C168)</f>
        <v>2281.29</v>
      </c>
      <c r="N168" s="15">
        <f>((73.59*30)*C168)</f>
        <v>2207.7000000000003</v>
      </c>
      <c r="O168" s="15">
        <f>((73.59*31)*C168)</f>
        <v>2281.29</v>
      </c>
      <c r="P168" s="15">
        <f>((73.59*30)*C168)</f>
        <v>2207.7000000000003</v>
      </c>
      <c r="Q168" s="15"/>
      <c r="R168" s="15">
        <f>SUM(H168:Q168)</f>
        <v>20237.250000000004</v>
      </c>
    </row>
    <row r="169" spans="1:18" ht="41.25" customHeight="1">
      <c r="A169" s="53"/>
      <c r="B169" s="12" t="s">
        <v>3</v>
      </c>
      <c r="C169" s="43"/>
      <c r="D169" s="44"/>
      <c r="E169" s="13">
        <f>R169</f>
        <v>639.75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>
        <v>639.75</v>
      </c>
    </row>
    <row r="170" spans="1:18" ht="41.25" customHeight="1">
      <c r="A170" s="92" t="s">
        <v>41</v>
      </c>
      <c r="B170" s="93"/>
      <c r="C170" s="94"/>
      <c r="D170" s="35" t="s">
        <v>76</v>
      </c>
      <c r="E170" s="41">
        <f>SUM(E172:E173)</f>
        <v>20877.000000000004</v>
      </c>
      <c r="F170" s="20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2"/>
    </row>
    <row r="171" spans="1:18" ht="41.25" customHeight="1">
      <c r="A171" s="40" t="s">
        <v>62</v>
      </c>
      <c r="B171" s="38"/>
      <c r="C171" s="10">
        <f>SUM(C172:C172)</f>
        <v>1</v>
      </c>
      <c r="D171" s="78" t="s">
        <v>2</v>
      </c>
      <c r="E171" s="79">
        <f>SUM(E172)</f>
        <v>20237.250000000004</v>
      </c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5"/>
    </row>
    <row r="172" spans="1:18" ht="41.25" customHeight="1">
      <c r="A172" s="51"/>
      <c r="B172" s="10" t="s">
        <v>7</v>
      </c>
      <c r="C172" s="12">
        <v>1</v>
      </c>
      <c r="D172" s="12" t="s">
        <v>6</v>
      </c>
      <c r="E172" s="15">
        <f>R172</f>
        <v>20237.250000000004</v>
      </c>
      <c r="F172" s="15"/>
      <c r="G172" s="15"/>
      <c r="H172" s="15">
        <f>((73.59*31)*C172)</f>
        <v>2281.29</v>
      </c>
      <c r="I172" s="15">
        <f>((73.59*30)*C172)</f>
        <v>2207.7000000000003</v>
      </c>
      <c r="J172" s="15">
        <f>((73.59*31)*C172)</f>
        <v>2281.29</v>
      </c>
      <c r="K172" s="15">
        <f>((73.59*30)*C172)</f>
        <v>2207.7000000000003</v>
      </c>
      <c r="L172" s="15">
        <f>((73.59*31)*C172)</f>
        <v>2281.29</v>
      </c>
      <c r="M172" s="15">
        <f>((73.59*31)*C172)</f>
        <v>2281.29</v>
      </c>
      <c r="N172" s="15">
        <f>((73.59*30)*C172)</f>
        <v>2207.7000000000003</v>
      </c>
      <c r="O172" s="15">
        <f>((73.59*31)*C172)</f>
        <v>2281.29</v>
      </c>
      <c r="P172" s="15">
        <f>((73.59*30)*C172)</f>
        <v>2207.7000000000003</v>
      </c>
      <c r="Q172" s="15"/>
      <c r="R172" s="15">
        <f>SUM(H172:Q172)</f>
        <v>20237.250000000004</v>
      </c>
    </row>
    <row r="173" spans="1:18" ht="41.25" customHeight="1">
      <c r="A173" s="53"/>
      <c r="B173" s="12" t="s">
        <v>3</v>
      </c>
      <c r="C173" s="43"/>
      <c r="D173" s="44"/>
      <c r="E173" s="13">
        <f>R173</f>
        <v>639.75</v>
      </c>
      <c r="F173" s="59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15">
        <v>639.75</v>
      </c>
    </row>
    <row r="174" spans="1:18" ht="41.25" customHeight="1">
      <c r="A174" s="66"/>
      <c r="B174" s="80" t="s">
        <v>94</v>
      </c>
      <c r="C174" s="81"/>
      <c r="D174" s="82"/>
      <c r="E174" s="26">
        <f>E148+E152+E157+E161+E166+E170</f>
        <v>217201.00000000003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5"/>
    </row>
    <row r="175" spans="1:18" ht="41.25" customHeight="1">
      <c r="A175" s="92" t="s">
        <v>12</v>
      </c>
      <c r="B175" s="93"/>
      <c r="C175" s="94"/>
      <c r="D175" s="35" t="s">
        <v>76</v>
      </c>
      <c r="E175" s="36">
        <f>SUM(E177:E179)</f>
        <v>31316.000000000004</v>
      </c>
      <c r="F175" s="20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2"/>
    </row>
    <row r="176" spans="1:18" ht="41.25" customHeight="1">
      <c r="A176" s="40" t="s">
        <v>63</v>
      </c>
      <c r="B176" s="38"/>
      <c r="C176" s="10">
        <f>SUM(C177:C178)</f>
        <v>2</v>
      </c>
      <c r="D176" s="78" t="s">
        <v>2</v>
      </c>
      <c r="E176" s="79">
        <f>SUM(E177:E178)</f>
        <v>29288.820000000003</v>
      </c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5"/>
    </row>
    <row r="177" spans="1:18" ht="41.25" customHeight="1">
      <c r="A177" s="51"/>
      <c r="B177" s="10" t="s">
        <v>7</v>
      </c>
      <c r="C177" s="12">
        <v>1</v>
      </c>
      <c r="D177" s="12" t="s">
        <v>31</v>
      </c>
      <c r="E177" s="15">
        <f>R177</f>
        <v>22518.540000000005</v>
      </c>
      <c r="F177" s="15"/>
      <c r="G177" s="15"/>
      <c r="H177" s="15">
        <f>((73.59*31)*C177)</f>
        <v>2281.29</v>
      </c>
      <c r="I177" s="15">
        <f>((73.59*30)*C177)</f>
        <v>2207.7000000000003</v>
      </c>
      <c r="J177" s="15">
        <f>((73.59*31)*C177)</f>
        <v>2281.29</v>
      </c>
      <c r="K177" s="15">
        <f>((73.59*30)*C177)</f>
        <v>2207.7000000000003</v>
      </c>
      <c r="L177" s="15">
        <f>((73.59*31)*C177)</f>
        <v>2281.29</v>
      </c>
      <c r="M177" s="15">
        <f>((73.59*31)*C177)</f>
        <v>2281.29</v>
      </c>
      <c r="N177" s="15">
        <f>((73.59*30)*C177)</f>
        <v>2207.7000000000003</v>
      </c>
      <c r="O177" s="15">
        <f>((73.59*31)*C177)</f>
        <v>2281.29</v>
      </c>
      <c r="P177" s="15">
        <f>((73.59*30)*C177)</f>
        <v>2207.7000000000003</v>
      </c>
      <c r="Q177" s="15">
        <f>((73.59*31)*C177)</f>
        <v>2281.29</v>
      </c>
      <c r="R177" s="15">
        <f>SUM(H177:Q177)</f>
        <v>22518.540000000005</v>
      </c>
    </row>
    <row r="178" spans="1:18" ht="41.25" customHeight="1">
      <c r="A178" s="52"/>
      <c r="B178" s="10" t="s">
        <v>7</v>
      </c>
      <c r="C178" s="12">
        <v>1</v>
      </c>
      <c r="D178" s="12" t="s">
        <v>64</v>
      </c>
      <c r="E178" s="15">
        <f>R178</f>
        <v>6770.28</v>
      </c>
      <c r="F178" s="15"/>
      <c r="G178" s="15"/>
      <c r="H178" s="15">
        <f>((73.59*31)*C178)</f>
        <v>2281.29</v>
      </c>
      <c r="I178" s="15">
        <f>((73.59*30)*C178)</f>
        <v>2207.7000000000003</v>
      </c>
      <c r="J178" s="15">
        <f>((73.59*31)*C178)</f>
        <v>2281.29</v>
      </c>
      <c r="K178" s="15"/>
      <c r="L178" s="15"/>
      <c r="M178" s="15"/>
      <c r="N178" s="15"/>
      <c r="O178" s="15"/>
      <c r="P178" s="15"/>
      <c r="Q178" s="15"/>
      <c r="R178" s="15">
        <f>SUM(H178:Q178)</f>
        <v>6770.28</v>
      </c>
    </row>
    <row r="179" spans="1:18" ht="41.25" customHeight="1">
      <c r="A179" s="53"/>
      <c r="B179" s="12" t="s">
        <v>3</v>
      </c>
      <c r="C179" s="43"/>
      <c r="D179" s="44"/>
      <c r="E179" s="15">
        <f>R179</f>
        <v>2027.1800000000003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>
        <v>2027.1800000000003</v>
      </c>
    </row>
    <row r="180" spans="1:18" ht="41.25" customHeight="1">
      <c r="A180" s="92" t="s">
        <v>16</v>
      </c>
      <c r="B180" s="93"/>
      <c r="C180" s="94"/>
      <c r="D180" s="35" t="s">
        <v>76</v>
      </c>
      <c r="E180" s="41">
        <f>SUM(E182:E183)</f>
        <v>16442</v>
      </c>
      <c r="F180" s="20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2"/>
    </row>
    <row r="181" spans="1:18" ht="41.25" customHeight="1">
      <c r="A181" s="29" t="s">
        <v>65</v>
      </c>
      <c r="B181" s="27"/>
      <c r="C181" s="28">
        <f>SUM(C182:C182)</f>
        <v>1</v>
      </c>
      <c r="D181" s="78" t="s">
        <v>2</v>
      </c>
      <c r="E181" s="79">
        <f>SUM(E182)</f>
        <v>15748.260000000002</v>
      </c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5"/>
    </row>
    <row r="182" spans="1:18" ht="41.25" customHeight="1">
      <c r="A182" s="51"/>
      <c r="B182" s="55" t="s">
        <v>7</v>
      </c>
      <c r="C182" s="12">
        <v>1</v>
      </c>
      <c r="D182" s="12" t="s">
        <v>66</v>
      </c>
      <c r="E182" s="15">
        <f>R182</f>
        <v>15748.260000000002</v>
      </c>
      <c r="F182" s="15"/>
      <c r="G182" s="15"/>
      <c r="H182" s="15">
        <f>((73.59*31)*C182)</f>
        <v>2281.29</v>
      </c>
      <c r="I182" s="15">
        <f>((73.59*30)*C182)</f>
        <v>2207.7000000000003</v>
      </c>
      <c r="J182" s="15">
        <f>((73.59*31)*C182)</f>
        <v>2281.29</v>
      </c>
      <c r="K182" s="15">
        <f>((73.59*30)*C182)</f>
        <v>2207.7000000000003</v>
      </c>
      <c r="L182" s="15">
        <f>((73.59*31)*C182)</f>
        <v>2281.29</v>
      </c>
      <c r="M182" s="15">
        <f>((73.59*31)*C182)</f>
        <v>2281.29</v>
      </c>
      <c r="N182" s="15">
        <f>((73.59*30)*C182)</f>
        <v>2207.7000000000003</v>
      </c>
      <c r="O182" s="15"/>
      <c r="P182" s="15"/>
      <c r="Q182" s="15"/>
      <c r="R182" s="15">
        <f>SUM(G182:N182)</f>
        <v>15748.260000000002</v>
      </c>
    </row>
    <row r="183" spans="1:18" ht="41.25" customHeight="1">
      <c r="A183" s="53"/>
      <c r="B183" s="12" t="s">
        <v>3</v>
      </c>
      <c r="C183" s="96"/>
      <c r="D183" s="97"/>
      <c r="E183" s="15">
        <f>R183</f>
        <v>693.73999999999978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>
        <v>693.73999999999978</v>
      </c>
    </row>
    <row r="184" spans="1:18" ht="41.25" customHeight="1">
      <c r="A184" s="92" t="s">
        <v>98</v>
      </c>
      <c r="B184" s="93"/>
      <c r="C184" s="94"/>
      <c r="D184" s="35" t="s">
        <v>76</v>
      </c>
      <c r="E184" s="41">
        <f>SUM(E186:E188)</f>
        <v>41755.000000000015</v>
      </c>
      <c r="F184" s="20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2"/>
    </row>
    <row r="185" spans="1:18" ht="41.25" customHeight="1">
      <c r="A185" s="40" t="s">
        <v>67</v>
      </c>
      <c r="B185" s="38"/>
      <c r="C185" s="10">
        <f>SUM(C186:C187)</f>
        <v>2</v>
      </c>
      <c r="D185" s="78" t="s">
        <v>2</v>
      </c>
      <c r="E185" s="79">
        <f>SUM(E186:E187)</f>
        <v>40548.090000000011</v>
      </c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5"/>
    </row>
    <row r="186" spans="1:18" ht="41.25" customHeight="1">
      <c r="A186" s="88"/>
      <c r="B186" s="10" t="s">
        <v>7</v>
      </c>
      <c r="C186" s="12">
        <v>1</v>
      </c>
      <c r="D186" s="12" t="s">
        <v>31</v>
      </c>
      <c r="E186" s="15">
        <f>R186</f>
        <v>22518.540000000005</v>
      </c>
      <c r="F186" s="15"/>
      <c r="G186" s="15"/>
      <c r="H186" s="15">
        <f>((73.59*31)*C186)</f>
        <v>2281.29</v>
      </c>
      <c r="I186" s="15">
        <f>((73.59*30)*C186)</f>
        <v>2207.7000000000003</v>
      </c>
      <c r="J186" s="15">
        <f>((73.59*31)*C186)</f>
        <v>2281.29</v>
      </c>
      <c r="K186" s="15">
        <f>((73.59*30)*C186)</f>
        <v>2207.7000000000003</v>
      </c>
      <c r="L186" s="15">
        <f>((73.59*31)*C186)</f>
        <v>2281.29</v>
      </c>
      <c r="M186" s="15">
        <f>((73.59*31)*C186)</f>
        <v>2281.29</v>
      </c>
      <c r="N186" s="15">
        <f>((73.59*30)*C186)</f>
        <v>2207.7000000000003</v>
      </c>
      <c r="O186" s="15">
        <f>((73.59*31)*C186)</f>
        <v>2281.29</v>
      </c>
      <c r="P186" s="15">
        <f>((73.59*30)*C186)</f>
        <v>2207.7000000000003</v>
      </c>
      <c r="Q186" s="15">
        <f>((73.59*31)*C186)</f>
        <v>2281.29</v>
      </c>
      <c r="R186" s="15">
        <f>SUM(H186:Q186)</f>
        <v>22518.540000000005</v>
      </c>
    </row>
    <row r="187" spans="1:18" ht="41.25" customHeight="1">
      <c r="A187" s="89"/>
      <c r="B187" s="10" t="s">
        <v>7</v>
      </c>
      <c r="C187" s="12">
        <v>1</v>
      </c>
      <c r="D187" s="12" t="s">
        <v>43</v>
      </c>
      <c r="E187" s="15">
        <f>R187</f>
        <v>18029.550000000003</v>
      </c>
      <c r="F187" s="15"/>
      <c r="G187" s="15"/>
      <c r="H187" s="15">
        <f>((73.59*31)*C187)</f>
        <v>2281.29</v>
      </c>
      <c r="I187" s="15">
        <f>((73.59*30)*C187)</f>
        <v>2207.7000000000003</v>
      </c>
      <c r="J187" s="15">
        <f>((73.59*31)*C187)</f>
        <v>2281.29</v>
      </c>
      <c r="K187" s="15">
        <f>((73.59*30)*C187)</f>
        <v>2207.7000000000003</v>
      </c>
      <c r="L187" s="15">
        <f>((73.59*31)*C187)</f>
        <v>2281.29</v>
      </c>
      <c r="M187" s="15">
        <f>((73.59*31)*C187)</f>
        <v>2281.29</v>
      </c>
      <c r="N187" s="15">
        <f>((73.59*30)*C187)</f>
        <v>2207.7000000000003</v>
      </c>
      <c r="O187" s="15">
        <f>((73.59*31)*C187)</f>
        <v>2281.29</v>
      </c>
      <c r="P187" s="15"/>
      <c r="Q187" s="15"/>
      <c r="R187" s="15">
        <f>SUM(H187:Q187)</f>
        <v>18029.550000000003</v>
      </c>
    </row>
    <row r="188" spans="1:18" ht="41.25" customHeight="1">
      <c r="A188" s="90"/>
      <c r="B188" s="12" t="s">
        <v>3</v>
      </c>
      <c r="C188" s="96"/>
      <c r="D188" s="97"/>
      <c r="E188" s="15">
        <f>R188</f>
        <v>1206.9100000000035</v>
      </c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15">
        <v>1206.9100000000035</v>
      </c>
    </row>
    <row r="189" spans="1:18" ht="41.25" customHeight="1">
      <c r="A189" s="67"/>
      <c r="B189" s="80" t="s">
        <v>95</v>
      </c>
      <c r="C189" s="81"/>
      <c r="D189" s="82"/>
      <c r="E189" s="26">
        <f>E175+E180+E184</f>
        <v>89513.000000000015</v>
      </c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9"/>
    </row>
  </sheetData>
  <mergeCells count="62">
    <mergeCell ref="A117:C117"/>
    <mergeCell ref="A122:C122"/>
    <mergeCell ref="A104:A106"/>
    <mergeCell ref="C183:D183"/>
    <mergeCell ref="C188:D188"/>
    <mergeCell ref="A186:A188"/>
    <mergeCell ref="C151:D151"/>
    <mergeCell ref="A119:A121"/>
    <mergeCell ref="A148:C148"/>
    <mergeCell ref="A152:C152"/>
    <mergeCell ref="C136:D136"/>
    <mergeCell ref="A127:C127"/>
    <mergeCell ref="A124:A126"/>
    <mergeCell ref="A47:A50"/>
    <mergeCell ref="A42:A44"/>
    <mergeCell ref="A180:C180"/>
    <mergeCell ref="A184:C184"/>
    <mergeCell ref="A157:C157"/>
    <mergeCell ref="A161:C161"/>
    <mergeCell ref="A166:C166"/>
    <mergeCell ref="A170:C170"/>
    <mergeCell ref="A175:C175"/>
    <mergeCell ref="A163:A165"/>
    <mergeCell ref="C165:D165"/>
    <mergeCell ref="A132:C132"/>
    <mergeCell ref="A137:C137"/>
    <mergeCell ref="A142:C142"/>
    <mergeCell ref="A144:A145"/>
    <mergeCell ref="A92:C92"/>
    <mergeCell ref="A114:A116"/>
    <mergeCell ref="A51:C51"/>
    <mergeCell ref="A56:C56"/>
    <mergeCell ref="A65:C65"/>
    <mergeCell ref="A70:C70"/>
    <mergeCell ref="A77:C77"/>
    <mergeCell ref="A67:A69"/>
    <mergeCell ref="A72:A76"/>
    <mergeCell ref="A107:C107"/>
    <mergeCell ref="A94:A96"/>
    <mergeCell ref="A99:A101"/>
    <mergeCell ref="A97:C97"/>
    <mergeCell ref="A102:C102"/>
    <mergeCell ref="A85:C85"/>
    <mergeCell ref="A79:A84"/>
    <mergeCell ref="A112:C112"/>
    <mergeCell ref="A15:C15"/>
    <mergeCell ref="A22:C22"/>
    <mergeCell ref="A29:C29"/>
    <mergeCell ref="A34:C34"/>
    <mergeCell ref="A40:C40"/>
    <mergeCell ref="A45:C45"/>
    <mergeCell ref="A36:A39"/>
    <mergeCell ref="A31:A33"/>
    <mergeCell ref="A24:A28"/>
    <mergeCell ref="A17:A21"/>
    <mergeCell ref="A9:C9"/>
    <mergeCell ref="A11:A14"/>
    <mergeCell ref="A1:R1"/>
    <mergeCell ref="A2:R2"/>
    <mergeCell ref="A3:R3"/>
    <mergeCell ref="A4:R4"/>
    <mergeCell ref="A5:R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REPROGRAMACIÓN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Unidad de Información Pública</cp:lastModifiedBy>
  <dcterms:created xsi:type="dcterms:W3CDTF">2025-04-09T15:35:05Z</dcterms:created>
  <dcterms:modified xsi:type="dcterms:W3CDTF">2025-05-23T14:57:36Z</dcterms:modified>
</cp:coreProperties>
</file>