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2.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3.xml" ContentType="application/vnd.openxmlformats-officedocument.drawing+xml"/>
  <Override PartName="/xl/comments6.xml" ContentType="application/vnd.openxmlformats-officedocument.spreadsheetml.comments+xml"/>
  <Override PartName="/xl/charts/chart1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5.xml" ContentType="application/vnd.openxmlformats-officedocument.drawing+xml"/>
  <Override PartName="/xl/comments7.xml" ContentType="application/vnd.openxmlformats-officedocument.spreadsheetml.comments+xml"/>
  <Override PartName="/xl/charts/chart23.xml" ContentType="application/vnd.openxmlformats-officedocument.drawingml.chart+xml"/>
  <Override PartName="/xl/drawings/drawing6.xml" ContentType="application/vnd.openxmlformats-officedocument.drawing+xml"/>
  <Override PartName="/xl/charts/chart24.xml" ContentType="application/vnd.openxmlformats-officedocument.drawingml.chart+xml"/>
  <Override PartName="/xl/drawings/drawing7.xml" ContentType="application/vnd.openxmlformats-officedocument.drawing+xml"/>
  <Override PartName="/xl/charts/chart25.xml" ContentType="application/vnd.openxmlformats-officedocument.drawingml.chart+xml"/>
  <Override PartName="/xl/drawings/drawing8.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comments8.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harts/chart28.xml" ContentType="application/vnd.openxmlformats-officedocument.drawingml.chart+xml"/>
  <Override PartName="/xl/drawings/drawing11.xml" ContentType="application/vnd.openxmlformats-officedocument.drawing+xml"/>
  <Override PartName="/xl/charts/chart29.xml" ContentType="application/vnd.openxmlformats-officedocument.drawingml.chart+xml"/>
  <Override PartName="/xl/drawings/drawing12.xml" ContentType="application/vnd.openxmlformats-officedocument.drawing+xml"/>
  <Override PartName="/xl/charts/chart30.xml" ContentType="application/vnd.openxmlformats-officedocument.drawingml.chart+xml"/>
  <Override PartName="/xl/drawings/drawing13.xml" ContentType="application/vnd.openxmlformats-officedocument.drawing+xml"/>
  <Override PartName="/xl/charts/chart31.xml" ContentType="application/vnd.openxmlformats-officedocument.drawingml.chart+xml"/>
  <Override PartName="/xl/drawings/drawing14.xml" ContentType="application/vnd.openxmlformats-officedocument.drawing+xml"/>
  <Override PartName="/xl/comments9.xml" ContentType="application/vnd.openxmlformats-officedocument.spreadsheetml.comments+xml"/>
  <Override PartName="/xl/charts/chart32.xml" ContentType="application/vnd.openxmlformats-officedocument.drawingml.chart+xml"/>
  <Override PartName="/xl/charts/style2.xml" ContentType="application/vnd.ms-office.chartstyle+xml"/>
  <Override PartName="/xl/charts/colors2.xml" ContentType="application/vnd.ms-office.chartcolorstyle+xml"/>
  <Override PartName="/xl/comments10.xml" ContentType="application/vnd.openxmlformats-officedocument.spreadsheetml.comments+xml"/>
  <Override PartName="/xl/drawings/drawing15.xml" ContentType="application/vnd.openxmlformats-officedocument.drawing+xml"/>
  <Override PartName="/xl/charts/chart3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C:\Users\evelyn.escobar\Desktop\AIP\RESOLUCIONES UIP\RESPUESTAS DE DIRECCIONES Y UNIDADES 2021\"/>
    </mc:Choice>
  </mc:AlternateContent>
  <xr:revisionPtr revIDLastSave="0" documentId="13_ncr:1_{DA0BC678-7838-4F4B-BA2E-48D624E91445}" xr6:coauthVersionLast="46" xr6:coauthVersionMax="46" xr10:uidLastSave="{00000000-0000-0000-0000-000000000000}"/>
  <bookViews>
    <workbookView xWindow="-120" yWindow="-120" windowWidth="20730" windowHeight="11160" tabRatio="862" xr2:uid="{00000000-000D-0000-FFFF-FFFF00000000}"/>
  </bookViews>
  <sheets>
    <sheet name="LISTADO SIGAP" sheetId="1" r:id="rId1"/>
    <sheet name="DESINSCRIPCIONES" sheetId="2" r:id="rId2"/>
    <sheet name="HECTAREAJE 2018" sheetId="3" r:id="rId3"/>
    <sheet name="Áreas Protegidas antes del 4-89" sheetId="4" r:id="rId4"/>
    <sheet name="Ha por Región y Cat Manejo" sheetId="5" r:id="rId5"/>
    <sheet name="Areas por Regional" sheetId="6" r:id="rId6"/>
    <sheet name="Registro Histórico 1955-2017" sheetId="7" r:id="rId7"/>
    <sheet name="Crecimiento extensión sigap " sheetId="8" r:id="rId8"/>
    <sheet name="Extensión Anual de RNP" sheetId="9" r:id="rId9"/>
    <sheet name="Ha y % Categorías de manejo" sheetId="10" r:id="rId10"/>
    <sheet name="Areas por Categoria" sheetId="11" r:id="rId11"/>
    <sheet name="Areas por Coadministrador" sheetId="12" r:id="rId12"/>
    <sheet name="AREAS PROTEGIDAS CON CONVENIO" sheetId="13" r:id="rId13"/>
    <sheet name="AREAS PROTEGIDAS SIN CONVENIO" sheetId="14" r:id="rId14"/>
    <sheet name="Mesas coadministración" sheetId="15" r:id="rId15"/>
    <sheet name="Guardarrecursos por año" sheetId="16" r:id="rId16"/>
    <sheet name="visitantes por área" sheetId="17" r:id="rId17"/>
    <sheet name="Presupuesto ejecutado por conap" sheetId="18" r:id="rId18"/>
    <sheet name="registro de proyectos" sheetId="19" r:id="rId19"/>
    <sheet name="medios de comunicación" sheetId="20" r:id="rId20"/>
    <sheet name="pinfor y pinpep" sheetId="21" r:id="rId21"/>
    <sheet name="Área de Volcanes" sheetId="22" r:id="rId22"/>
    <sheet name="LISTADO DE APE" sheetId="23" r:id="rId23"/>
    <sheet name="77 PMaestros" sheetId="24" r:id="rId24"/>
    <sheet name="ALD con ET" sheetId="25" r:id="rId25"/>
    <sheet name="APE con ET" sheetId="26" r:id="rId26"/>
    <sheet name="UDC con ET" sheetId="27" r:id="rId27"/>
    <sheet name="Evaluación Consultores" sheetId="28" r:id="rId28"/>
    <sheet name="APLD por Administrador" sheetId="29" r:id="rId29"/>
    <sheet name="CECON" sheetId="30" r:id="rId30"/>
  </sheets>
  <definedNames>
    <definedName name="_xlnm._FilterDatabase" localSheetId="23" hidden="1">'77 PMaestros'!$A$1:$O$78</definedName>
    <definedName name="_xlnm._FilterDatabase" localSheetId="24" hidden="1">'ALD con ET'!$A$2:$Z$84</definedName>
    <definedName name="_xlnm._FilterDatabase" localSheetId="21" hidden="1">'Área de Volcanes'!$A$1:$L$32</definedName>
    <definedName name="_xlnm._FilterDatabase" localSheetId="3" hidden="1">'Áreas Protegidas antes del 4-89'!$A$1:$V$52</definedName>
    <definedName name="_xlnm._FilterDatabase" localSheetId="1" hidden="1">DESINSCRIPCIONES!$B$1:$X$26</definedName>
    <definedName name="_xlnm._FilterDatabase" localSheetId="27" hidden="1">'Evaluación Consultores'!$A$3:$H$31</definedName>
    <definedName name="_xlnm._FilterDatabase" localSheetId="22" hidden="1">'LISTADO DE APE'!$A$5:$I$43</definedName>
    <definedName name="_xlnm._FilterDatabase" localSheetId="0" hidden="1">'LISTADO SIGAP'!$A$2:$AB$366</definedName>
  </definedNames>
  <calcPr calcId="181029"/>
</workbook>
</file>

<file path=xl/calcChain.xml><?xml version="1.0" encoding="utf-8"?>
<calcChain xmlns="http://schemas.openxmlformats.org/spreadsheetml/2006/main">
  <c r="F386" i="1" l="1"/>
  <c r="G386" i="1"/>
  <c r="C12" i="6" l="1"/>
  <c r="C11" i="6"/>
  <c r="C10" i="6"/>
  <c r="C9" i="6"/>
  <c r="C8" i="6"/>
  <c r="C7" i="6"/>
  <c r="C6" i="6"/>
  <c r="C5" i="6"/>
  <c r="C4" i="6"/>
  <c r="C3" i="6"/>
  <c r="K381" i="1"/>
  <c r="G385" i="1"/>
  <c r="F385" i="1"/>
  <c r="J375" i="1" l="1"/>
  <c r="I375" i="1"/>
  <c r="D7" i="6" s="1"/>
  <c r="F7" i="6" l="1"/>
  <c r="J352" i="1"/>
  <c r="K352" i="1"/>
  <c r="I352" i="1"/>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E42" i="28" l="1"/>
  <c r="D42" i="28"/>
  <c r="J107" i="24"/>
  <c r="I107" i="24"/>
  <c r="G107" i="24"/>
  <c r="F107" i="24"/>
  <c r="E107" i="24"/>
  <c r="J78" i="24"/>
  <c r="I78" i="24"/>
  <c r="K32" i="22"/>
  <c r="J32" i="22"/>
  <c r="I32" i="22"/>
  <c r="H32" i="22"/>
  <c r="G32" i="22"/>
  <c r="F32" i="22"/>
  <c r="L31" i="22"/>
  <c r="L30" i="22"/>
  <c r="L29" i="22"/>
  <c r="L28" i="22"/>
  <c r="L27" i="22"/>
  <c r="L26" i="22"/>
  <c r="L25" i="22"/>
  <c r="L24" i="22"/>
  <c r="L23" i="22"/>
  <c r="L22" i="22"/>
  <c r="L21" i="22"/>
  <c r="L20" i="22"/>
  <c r="L19" i="22"/>
  <c r="L18" i="22"/>
  <c r="L17" i="22"/>
  <c r="L16" i="22"/>
  <c r="L15" i="22"/>
  <c r="L14" i="22"/>
  <c r="L13" i="22"/>
  <c r="L12" i="22"/>
  <c r="L11" i="22"/>
  <c r="L10" i="22"/>
  <c r="L9" i="22"/>
  <c r="L8" i="22"/>
  <c r="L7" i="22"/>
  <c r="L6" i="22"/>
  <c r="L5" i="22"/>
  <c r="L4" i="22"/>
  <c r="L3" i="22"/>
  <c r="L2" i="22"/>
  <c r="E20" i="21"/>
  <c r="D20" i="21"/>
  <c r="M9" i="21"/>
  <c r="L9" i="21"/>
  <c r="M8" i="21"/>
  <c r="L8" i="21"/>
  <c r="M7" i="21"/>
  <c r="L7" i="21"/>
  <c r="M6" i="21"/>
  <c r="L6" i="21"/>
  <c r="M5" i="21"/>
  <c r="L5" i="21"/>
  <c r="J8" i="18"/>
  <c r="I8" i="18"/>
  <c r="H8" i="18"/>
  <c r="H21" i="17"/>
  <c r="G21" i="17"/>
  <c r="AW29" i="16"/>
  <c r="AW28" i="16"/>
  <c r="AW27" i="16"/>
  <c r="AW26" i="16"/>
  <c r="AW25" i="16"/>
  <c r="E39" i="12"/>
  <c r="F38" i="12"/>
  <c r="F37" i="12"/>
  <c r="F36" i="12"/>
  <c r="F35" i="12"/>
  <c r="F34" i="12"/>
  <c r="F33" i="12"/>
  <c r="F32" i="12"/>
  <c r="C9" i="12"/>
  <c r="C7" i="12"/>
  <c r="C6" i="12"/>
  <c r="C5" i="12"/>
  <c r="C4" i="12"/>
  <c r="G11" i="11"/>
  <c r="D20" i="10"/>
  <c r="C19" i="10"/>
  <c r="C18" i="10"/>
  <c r="C14" i="10"/>
  <c r="C8" i="10"/>
  <c r="C5" i="10"/>
  <c r="C3" i="10"/>
  <c r="C20" i="10" s="1"/>
  <c r="C28" i="9"/>
  <c r="C27" i="9"/>
  <c r="C16" i="9"/>
  <c r="D85" i="7"/>
  <c r="C83" i="7"/>
  <c r="C82" i="7"/>
  <c r="F41" i="7" s="1"/>
  <c r="C41" i="8" s="1"/>
  <c r="E56" i="7"/>
  <c r="C53" i="7"/>
  <c r="C51" i="7"/>
  <c r="D43" i="7"/>
  <c r="C43" i="7"/>
  <c r="F42" i="7"/>
  <c r="E42" i="7"/>
  <c r="E41" i="7"/>
  <c r="F40" i="7"/>
  <c r="C40" i="8" s="1"/>
  <c r="E40" i="7"/>
  <c r="F39" i="7"/>
  <c r="C80" i="7" s="1"/>
  <c r="E39" i="7"/>
  <c r="F38" i="7"/>
  <c r="C79" i="7" s="1"/>
  <c r="E38" i="7"/>
  <c r="F37" i="7"/>
  <c r="C78" i="7" s="1"/>
  <c r="E37" i="7"/>
  <c r="F36" i="7"/>
  <c r="C77" i="7" s="1"/>
  <c r="E36" i="7"/>
  <c r="F35" i="7"/>
  <c r="C76" i="7" s="1"/>
  <c r="E35" i="7"/>
  <c r="F34" i="7"/>
  <c r="C75" i="7" s="1"/>
  <c r="E34" i="7"/>
  <c r="F33" i="7"/>
  <c r="C74" i="7" s="1"/>
  <c r="E33" i="7"/>
  <c r="F32" i="7"/>
  <c r="C73" i="7" s="1"/>
  <c r="E32" i="7"/>
  <c r="F31" i="7"/>
  <c r="C72" i="7" s="1"/>
  <c r="E31" i="7"/>
  <c r="F30" i="7"/>
  <c r="C71" i="7" s="1"/>
  <c r="E30" i="7"/>
  <c r="F29" i="7"/>
  <c r="C70" i="7" s="1"/>
  <c r="E29" i="7"/>
  <c r="F28" i="7"/>
  <c r="C69" i="7" s="1"/>
  <c r="E28" i="7"/>
  <c r="F27" i="7"/>
  <c r="C68" i="7" s="1"/>
  <c r="E27" i="7"/>
  <c r="F26" i="7"/>
  <c r="C67" i="7" s="1"/>
  <c r="E26" i="7"/>
  <c r="F25" i="7"/>
  <c r="C66" i="7" s="1"/>
  <c r="E25" i="7"/>
  <c r="F24" i="7"/>
  <c r="C65" i="7" s="1"/>
  <c r="E24" i="7"/>
  <c r="F23" i="7"/>
  <c r="C64" i="7" s="1"/>
  <c r="E23" i="7"/>
  <c r="F22" i="7"/>
  <c r="C63" i="7" s="1"/>
  <c r="E22" i="7"/>
  <c r="F21" i="7"/>
  <c r="C62" i="7" s="1"/>
  <c r="E21" i="7"/>
  <c r="F20" i="7"/>
  <c r="C61" i="7" s="1"/>
  <c r="E20" i="7"/>
  <c r="F19" i="7"/>
  <c r="C60" i="7" s="1"/>
  <c r="E19" i="7"/>
  <c r="F18" i="7"/>
  <c r="C59" i="7" s="1"/>
  <c r="E18" i="7"/>
  <c r="F17" i="7"/>
  <c r="C58" i="7" s="1"/>
  <c r="E17" i="7"/>
  <c r="F16" i="7"/>
  <c r="C57" i="7" s="1"/>
  <c r="E16" i="7"/>
  <c r="F15" i="7"/>
  <c r="C56" i="7" s="1"/>
  <c r="E15" i="7"/>
  <c r="F14" i="7"/>
  <c r="C55" i="7" s="1"/>
  <c r="E14" i="7"/>
  <c r="F13" i="7"/>
  <c r="C54" i="7" s="1"/>
  <c r="E13" i="7"/>
  <c r="F11" i="7"/>
  <c r="C52" i="7" s="1"/>
  <c r="E11" i="7"/>
  <c r="F9" i="7"/>
  <c r="C50" i="7" s="1"/>
  <c r="E9" i="7"/>
  <c r="F8" i="7"/>
  <c r="C49" i="7" s="1"/>
  <c r="E8" i="7"/>
  <c r="J7" i="7"/>
  <c r="G7" i="7"/>
  <c r="G8" i="7" s="1"/>
  <c r="F7" i="7"/>
  <c r="C48" i="7" s="1"/>
  <c r="E7" i="7"/>
  <c r="J6" i="7"/>
  <c r="F6" i="7"/>
  <c r="I6" i="7" s="1"/>
  <c r="E6" i="7"/>
  <c r="H6" i="7" s="1"/>
  <c r="C14" i="6"/>
  <c r="B227" i="5"/>
  <c r="B223" i="5"/>
  <c r="C85" i="5"/>
  <c r="B83" i="5"/>
  <c r="C82" i="5"/>
  <c r="B81" i="5"/>
  <c r="C80" i="5"/>
  <c r="AG15" i="5"/>
  <c r="AC15" i="5"/>
  <c r="AA15" i="5"/>
  <c r="Y15" i="5"/>
  <c r="W15" i="5"/>
  <c r="U15" i="5"/>
  <c r="S15" i="5"/>
  <c r="Q15" i="5"/>
  <c r="O15" i="5"/>
  <c r="M15" i="5"/>
  <c r="K15" i="5"/>
  <c r="I15" i="5"/>
  <c r="G15" i="5"/>
  <c r="E15" i="5"/>
  <c r="C15" i="5"/>
  <c r="AJ14" i="5"/>
  <c r="AI14" i="5"/>
  <c r="AJ13" i="5"/>
  <c r="AI13" i="5"/>
  <c r="AI12" i="5"/>
  <c r="AF12" i="5"/>
  <c r="AJ12" i="5" s="1"/>
  <c r="AJ11" i="5"/>
  <c r="AI11" i="5"/>
  <c r="AF11" i="5"/>
  <c r="AI10" i="5"/>
  <c r="L10" i="5"/>
  <c r="AJ10" i="5" s="1"/>
  <c r="AF9" i="5"/>
  <c r="AJ9" i="5" s="1"/>
  <c r="AE9" i="5"/>
  <c r="AE15" i="5" s="1"/>
  <c r="AI8" i="5"/>
  <c r="AF8" i="5"/>
  <c r="C223" i="5" s="1"/>
  <c r="L8" i="5"/>
  <c r="AJ8" i="5" s="1"/>
  <c r="AI7" i="5"/>
  <c r="L7" i="5"/>
  <c r="AJ7" i="5" s="1"/>
  <c r="AI6" i="5"/>
  <c r="L6" i="5"/>
  <c r="AI5" i="5"/>
  <c r="L5" i="5"/>
  <c r="AJ5" i="5" s="1"/>
  <c r="AJ4" i="5"/>
  <c r="AI4" i="5"/>
  <c r="F59" i="4"/>
  <c r="D57" i="4"/>
  <c r="B59" i="4" s="1"/>
  <c r="I52" i="4"/>
  <c r="B41" i="3"/>
  <c r="B40" i="3"/>
  <c r="B39" i="3"/>
  <c r="B38" i="3"/>
  <c r="B37" i="3"/>
  <c r="B36" i="3"/>
  <c r="B35" i="3"/>
  <c r="B34" i="3"/>
  <c r="B15" i="3"/>
  <c r="G16" i="3" s="1"/>
  <c r="B14" i="3"/>
  <c r="D4" i="3"/>
  <c r="A5" i="3" s="1"/>
  <c r="D5" i="3" s="1"/>
  <c r="A6" i="3" s="1"/>
  <c r="D6" i="3" s="1"/>
  <c r="A7" i="3" s="1"/>
  <c r="D7" i="3" s="1"/>
  <c r="A8" i="3" s="1"/>
  <c r="D8" i="3" s="1"/>
  <c r="A9" i="3" s="1"/>
  <c r="D9" i="3" s="1"/>
  <c r="A10" i="3" s="1"/>
  <c r="D10" i="3" s="1"/>
  <c r="A11" i="3" s="1"/>
  <c r="D11" i="3" s="1"/>
  <c r="A12" i="3" s="1"/>
  <c r="D12" i="3" s="1"/>
  <c r="A13" i="3" s="1"/>
  <c r="D13" i="3" s="1"/>
  <c r="A14" i="3" s="1"/>
  <c r="K26" i="2"/>
  <c r="J26" i="2"/>
  <c r="I26" i="2"/>
  <c r="G387" i="1"/>
  <c r="F18" i="10" s="1"/>
  <c r="F387" i="1"/>
  <c r="G18" i="10" s="1"/>
  <c r="H18" i="10" s="1"/>
  <c r="F17" i="10"/>
  <c r="G17" i="10"/>
  <c r="H17" i="10" s="1"/>
  <c r="F14" i="10"/>
  <c r="G14" i="10"/>
  <c r="G384" i="1"/>
  <c r="F15" i="10" s="1"/>
  <c r="F384" i="1"/>
  <c r="G15" i="10" s="1"/>
  <c r="G383" i="1"/>
  <c r="F16" i="10" s="1"/>
  <c r="F383" i="1"/>
  <c r="G16" i="10" s="1"/>
  <c r="G382" i="1"/>
  <c r="F11" i="10" s="1"/>
  <c r="F382" i="1"/>
  <c r="G11" i="10" s="1"/>
  <c r="G381" i="1"/>
  <c r="F13" i="10" s="1"/>
  <c r="F381" i="1"/>
  <c r="G13" i="10" s="1"/>
  <c r="J380" i="1"/>
  <c r="I380" i="1"/>
  <c r="G380" i="1"/>
  <c r="F10" i="10" s="1"/>
  <c r="F380" i="1"/>
  <c r="G10" i="10" s="1"/>
  <c r="J379" i="1"/>
  <c r="I379" i="1"/>
  <c r="D6" i="6" s="1"/>
  <c r="G379" i="1"/>
  <c r="F12" i="10" s="1"/>
  <c r="F379" i="1"/>
  <c r="G12" i="10" s="1"/>
  <c r="J378" i="1"/>
  <c r="I378" i="1"/>
  <c r="D11" i="6" s="1"/>
  <c r="G378" i="1"/>
  <c r="F9" i="10" s="1"/>
  <c r="F378" i="1"/>
  <c r="G9" i="10" s="1"/>
  <c r="J377" i="1"/>
  <c r="I377" i="1"/>
  <c r="G377" i="1"/>
  <c r="F8" i="10" s="1"/>
  <c r="F377" i="1"/>
  <c r="G8" i="10" s="1"/>
  <c r="J376" i="1"/>
  <c r="I376" i="1"/>
  <c r="D8" i="6" s="1"/>
  <c r="G376" i="1"/>
  <c r="F7" i="10" s="1"/>
  <c r="F376" i="1"/>
  <c r="G7" i="10" s="1"/>
  <c r="G375" i="1"/>
  <c r="F6" i="10" s="1"/>
  <c r="F375" i="1"/>
  <c r="G6" i="10" s="1"/>
  <c r="J374" i="1"/>
  <c r="I374" i="1"/>
  <c r="D4" i="6" s="1"/>
  <c r="G374" i="1"/>
  <c r="F5" i="10" s="1"/>
  <c r="F374" i="1"/>
  <c r="G5" i="10" s="1"/>
  <c r="J373" i="1"/>
  <c r="I373" i="1"/>
  <c r="D3" i="6" s="1"/>
  <c r="G373" i="1"/>
  <c r="F4" i="10" s="1"/>
  <c r="F373" i="1"/>
  <c r="G4" i="10" s="1"/>
  <c r="J372" i="1"/>
  <c r="I372" i="1"/>
  <c r="D12" i="6" s="1"/>
  <c r="G372" i="1"/>
  <c r="F3" i="10" s="1"/>
  <c r="F372" i="1"/>
  <c r="G3" i="10" s="1"/>
  <c r="J371" i="1"/>
  <c r="I371" i="1"/>
  <c r="D10" i="6" s="1"/>
  <c r="G371" i="1"/>
  <c r="F371" i="1"/>
  <c r="J370" i="1"/>
  <c r="I370" i="1"/>
  <c r="J368" i="1"/>
  <c r="L369" i="1" s="1"/>
  <c r="I368" i="1"/>
  <c r="L360" i="1"/>
  <c r="K354" i="1"/>
  <c r="J354" i="1"/>
  <c r="I354" i="1"/>
  <c r="K353" i="1"/>
  <c r="J353" i="1"/>
  <c r="I353" i="1"/>
  <c r="J366" i="1"/>
  <c r="K366" i="1" s="1"/>
  <c r="C115" i="8"/>
  <c r="G19" i="10" l="1"/>
  <c r="H19" i="10" s="1"/>
  <c r="F388" i="1"/>
  <c r="F8" i="6"/>
  <c r="F11" i="6"/>
  <c r="F6" i="6"/>
  <c r="AM10" i="5"/>
  <c r="D9" i="6"/>
  <c r="AM13" i="5"/>
  <c r="D5" i="6"/>
  <c r="AM14" i="5"/>
  <c r="D13" i="6"/>
  <c r="F10" i="6"/>
  <c r="F12" i="6"/>
  <c r="F3" i="6"/>
  <c r="F4" i="6"/>
  <c r="H8" i="10"/>
  <c r="C11" i="12"/>
  <c r="L32" i="22"/>
  <c r="L34" i="22"/>
  <c r="D14" i="3"/>
  <c r="A15" i="3" s="1"/>
  <c r="D15" i="3" s="1"/>
  <c r="A16" i="3" s="1"/>
  <c r="D16" i="3" s="1"/>
  <c r="A17" i="3" s="1"/>
  <c r="D17" i="3" s="1"/>
  <c r="A18" i="3" s="1"/>
  <c r="D18" i="3" s="1"/>
  <c r="A19" i="3" s="1"/>
  <c r="D19" i="3" s="1"/>
  <c r="A20" i="3" s="1"/>
  <c r="D20" i="3" s="1"/>
  <c r="A21" i="3" s="1"/>
  <c r="D21" i="3" s="1"/>
  <c r="A22" i="3" s="1"/>
  <c r="D22" i="3" s="1"/>
  <c r="A23" i="3" s="1"/>
  <c r="D23" i="3" s="1"/>
  <c r="A24" i="3" s="1"/>
  <c r="D24" i="3" s="1"/>
  <c r="A25" i="3" s="1"/>
  <c r="D25" i="3" s="1"/>
  <c r="A26" i="3" s="1"/>
  <c r="D26" i="3" s="1"/>
  <c r="A27" i="3" s="1"/>
  <c r="D27" i="3" s="1"/>
  <c r="A28" i="3" s="1"/>
  <c r="D28" i="3" s="1"/>
  <c r="A29" i="3" s="1"/>
  <c r="D29" i="3" s="1"/>
  <c r="A30" i="3" s="1"/>
  <c r="D30" i="3" s="1"/>
  <c r="A31" i="3" s="1"/>
  <c r="D31" i="3" s="1"/>
  <c r="A32" i="3" s="1"/>
  <c r="D32" i="3" s="1"/>
  <c r="A33" i="3" s="1"/>
  <c r="D33" i="3" s="1"/>
  <c r="A34" i="3" s="1"/>
  <c r="D34" i="3" s="1"/>
  <c r="A35" i="3" s="1"/>
  <c r="D35" i="3" s="1"/>
  <c r="A36" i="3" s="1"/>
  <c r="D36" i="3" s="1"/>
  <c r="A37" i="3" s="1"/>
  <c r="D37" i="3" s="1"/>
  <c r="A38" i="3" s="1"/>
  <c r="D38" i="3" s="1"/>
  <c r="A39" i="3" s="1"/>
  <c r="D39" i="3" s="1"/>
  <c r="A40" i="3" s="1"/>
  <c r="D40" i="3" s="1"/>
  <c r="A41" i="3" s="1"/>
  <c r="D41" i="3" s="1"/>
  <c r="J381" i="1"/>
  <c r="I7" i="7"/>
  <c r="I8" i="7" s="1"/>
  <c r="C227" i="5"/>
  <c r="H7" i="7"/>
  <c r="H8" i="7" s="1"/>
  <c r="H9" i="7" s="1"/>
  <c r="H10" i="7" s="1"/>
  <c r="H11" i="7" s="1"/>
  <c r="H12" i="7" s="1"/>
  <c r="H13" i="7" s="1"/>
  <c r="H14" i="7" s="1"/>
  <c r="H15" i="7" s="1"/>
  <c r="H16" i="7" s="1"/>
  <c r="H17" i="7" s="1"/>
  <c r="H18" i="7" s="1"/>
  <c r="H19" i="7" s="1"/>
  <c r="H20" i="7" s="1"/>
  <c r="H21" i="7" s="1"/>
  <c r="H22" i="7" s="1"/>
  <c r="H23" i="7" s="1"/>
  <c r="H24" i="7" s="1"/>
  <c r="H25" i="7" s="1"/>
  <c r="H26" i="7" s="1"/>
  <c r="H27" i="7" s="1"/>
  <c r="H28" i="7" s="1"/>
  <c r="H29" i="7" s="1"/>
  <c r="H30" i="7" s="1"/>
  <c r="H31" i="7" s="1"/>
  <c r="H32" i="7" s="1"/>
  <c r="H33" i="7" s="1"/>
  <c r="H34" i="7" s="1"/>
  <c r="H35" i="7" s="1"/>
  <c r="H36" i="7" s="1"/>
  <c r="H37" i="7" s="1"/>
  <c r="H38" i="7" s="1"/>
  <c r="H39" i="7" s="1"/>
  <c r="H40" i="7" s="1"/>
  <c r="H41" i="7" s="1"/>
  <c r="H42" i="7" s="1"/>
  <c r="B42" i="3"/>
  <c r="C81" i="7"/>
  <c r="H5" i="10"/>
  <c r="J8" i="7"/>
  <c r="G9" i="7"/>
  <c r="AM4" i="5"/>
  <c r="AM6" i="5"/>
  <c r="AM8" i="5"/>
  <c r="H14" i="10"/>
  <c r="AJ6" i="5"/>
  <c r="AJ15" i="5" s="1"/>
  <c r="C81" i="5"/>
  <c r="C116" i="8"/>
  <c r="C117" i="8"/>
  <c r="C77" i="8"/>
  <c r="C78" i="8"/>
  <c r="F19" i="10"/>
  <c r="F20" i="10" s="1"/>
  <c r="G388" i="1"/>
  <c r="C83" i="5"/>
  <c r="F43" i="7"/>
  <c r="H3" i="10"/>
  <c r="G20" i="10"/>
  <c r="K358" i="1"/>
  <c r="L78" i="24" s="1"/>
  <c r="AM5" i="5"/>
  <c r="AM7" i="5"/>
  <c r="AM9" i="5"/>
  <c r="AM11" i="5"/>
  <c r="AM12" i="5"/>
  <c r="I381" i="1"/>
  <c r="AI9" i="5"/>
  <c r="AI15" i="5" s="1"/>
  <c r="K6" i="7"/>
  <c r="L6" i="7" s="1"/>
  <c r="C47" i="7"/>
  <c r="E43" i="7"/>
  <c r="F39" i="12"/>
  <c r="G36" i="12" s="1"/>
  <c r="C19" i="12" s="1"/>
  <c r="I382" i="1" l="1"/>
  <c r="I383" i="1"/>
  <c r="F13" i="6"/>
  <c r="F9" i="6"/>
  <c r="F5" i="6"/>
  <c r="C85" i="7"/>
  <c r="K7" i="7"/>
  <c r="L7" i="7" s="1"/>
  <c r="G32" i="12"/>
  <c r="C15" i="12" s="1"/>
  <c r="G38" i="12"/>
  <c r="C21" i="12" s="1"/>
  <c r="K359" i="1"/>
  <c r="L358" i="1"/>
  <c r="D14" i="6"/>
  <c r="G33" i="12"/>
  <c r="C16" i="12" s="1"/>
  <c r="G37" i="12"/>
  <c r="C20" i="12" s="1"/>
  <c r="G35" i="12"/>
  <c r="C18" i="12" s="1"/>
  <c r="AM15" i="5"/>
  <c r="G34" i="12"/>
  <c r="C17" i="12" s="1"/>
  <c r="H20" i="10"/>
  <c r="I5" i="10" s="1"/>
  <c r="C24" i="10" s="1"/>
  <c r="I9" i="7"/>
  <c r="K8" i="7"/>
  <c r="L8" i="7" s="1"/>
  <c r="J9" i="7"/>
  <c r="G10" i="7"/>
  <c r="F14" i="6" l="1"/>
  <c r="E7" i="6"/>
  <c r="E6" i="6"/>
  <c r="E10" i="6"/>
  <c r="E3" i="6"/>
  <c r="E8" i="6"/>
  <c r="E11" i="6"/>
  <c r="E12" i="6"/>
  <c r="E4" i="6"/>
  <c r="E9" i="6"/>
  <c r="E5" i="6"/>
  <c r="E13" i="6"/>
  <c r="I18" i="10"/>
  <c r="C28" i="10" s="1"/>
  <c r="I17" i="10"/>
  <c r="C27" i="10" s="1"/>
  <c r="I19" i="10"/>
  <c r="C29" i="10" s="1"/>
  <c r="I8" i="10"/>
  <c r="C25" i="10" s="1"/>
  <c r="I10" i="7"/>
  <c r="K9" i="7"/>
  <c r="L9" i="7" s="1"/>
  <c r="I3" i="10"/>
  <c r="L361" i="1"/>
  <c r="L359" i="1"/>
  <c r="K361" i="1"/>
  <c r="C22" i="12"/>
  <c r="I14" i="10"/>
  <c r="C26" i="10" s="1"/>
  <c r="G11" i="7"/>
  <c r="J10" i="7"/>
  <c r="K10" i="7" l="1"/>
  <c r="L10" i="7" s="1"/>
  <c r="I11" i="7"/>
  <c r="G12" i="7"/>
  <c r="J11" i="7"/>
  <c r="E14" i="6"/>
  <c r="I20" i="10"/>
  <c r="C23" i="10"/>
  <c r="J12" i="7" l="1"/>
  <c r="G13" i="7"/>
  <c r="I12" i="7"/>
  <c r="K11" i="7"/>
  <c r="L11" i="7" s="1"/>
  <c r="I13" i="7" l="1"/>
  <c r="K12" i="7"/>
  <c r="L12" i="7" s="1"/>
  <c r="J13" i="7"/>
  <c r="G14" i="7"/>
  <c r="I14" i="7" l="1"/>
  <c r="K13" i="7"/>
  <c r="L13" i="7" s="1"/>
  <c r="G15" i="7"/>
  <c r="J14" i="7"/>
  <c r="G16" i="7" l="1"/>
  <c r="J15" i="7"/>
  <c r="K14" i="7"/>
  <c r="L14" i="7" s="1"/>
  <c r="I15" i="7"/>
  <c r="G17" i="7" l="1"/>
  <c r="J16" i="7"/>
  <c r="K15" i="7"/>
  <c r="L15" i="7" s="1"/>
  <c r="I16" i="7"/>
  <c r="G18" i="7" l="1"/>
  <c r="J17" i="7"/>
  <c r="K16" i="7"/>
  <c r="L16" i="7" s="1"/>
  <c r="I17" i="7"/>
  <c r="G19" i="7" l="1"/>
  <c r="J18" i="7"/>
  <c r="K17" i="7"/>
  <c r="L17" i="7" s="1"/>
  <c r="I18" i="7"/>
  <c r="G20" i="7" l="1"/>
  <c r="J19" i="7"/>
  <c r="K18" i="7"/>
  <c r="L18" i="7" s="1"/>
  <c r="I19" i="7"/>
  <c r="G21" i="7" l="1"/>
  <c r="J20" i="7"/>
  <c r="K19" i="7"/>
  <c r="L19" i="7" s="1"/>
  <c r="I20" i="7"/>
  <c r="G22" i="7" l="1"/>
  <c r="J21" i="7"/>
  <c r="K20" i="7"/>
  <c r="L20" i="7" s="1"/>
  <c r="I21" i="7"/>
  <c r="G23" i="7" l="1"/>
  <c r="J22" i="7"/>
  <c r="K21" i="7"/>
  <c r="L21" i="7" s="1"/>
  <c r="I22" i="7"/>
  <c r="G24" i="7" l="1"/>
  <c r="J23" i="7"/>
  <c r="K22" i="7"/>
  <c r="L22" i="7" s="1"/>
  <c r="I23" i="7"/>
  <c r="G25" i="7" l="1"/>
  <c r="J24" i="7"/>
  <c r="K23" i="7"/>
  <c r="L23" i="7" s="1"/>
  <c r="I24" i="7"/>
  <c r="G26" i="7" l="1"/>
  <c r="J25" i="7"/>
  <c r="K24" i="7"/>
  <c r="L24" i="7" s="1"/>
  <c r="I25" i="7"/>
  <c r="G27" i="7" l="1"/>
  <c r="J26" i="7"/>
  <c r="K25" i="7"/>
  <c r="L25" i="7" s="1"/>
  <c r="I26" i="7"/>
  <c r="G28" i="7" l="1"/>
  <c r="J27" i="7"/>
  <c r="K26" i="7"/>
  <c r="L26" i="7" s="1"/>
  <c r="I27" i="7"/>
  <c r="G29" i="7" l="1"/>
  <c r="J28" i="7"/>
  <c r="K27" i="7"/>
  <c r="L27" i="7" s="1"/>
  <c r="I28" i="7"/>
  <c r="G30" i="7" l="1"/>
  <c r="J29" i="7"/>
  <c r="K28" i="7"/>
  <c r="L28" i="7" s="1"/>
  <c r="I29" i="7"/>
  <c r="G31" i="7" l="1"/>
  <c r="J30" i="7"/>
  <c r="K29" i="7"/>
  <c r="L29" i="7" s="1"/>
  <c r="I30" i="7"/>
  <c r="G32" i="7" l="1"/>
  <c r="J31" i="7"/>
  <c r="K30" i="7"/>
  <c r="L30" i="7" s="1"/>
  <c r="I31" i="7"/>
  <c r="G33" i="7" l="1"/>
  <c r="J32" i="7"/>
  <c r="K31" i="7"/>
  <c r="L31" i="7" s="1"/>
  <c r="I32" i="7"/>
  <c r="G34" i="7" l="1"/>
  <c r="J33" i="7"/>
  <c r="K32" i="7"/>
  <c r="L32" i="7" s="1"/>
  <c r="I33" i="7"/>
  <c r="G35" i="7" l="1"/>
  <c r="J34" i="7"/>
  <c r="K33" i="7"/>
  <c r="L33" i="7" s="1"/>
  <c r="I34" i="7"/>
  <c r="J35" i="7" l="1"/>
  <c r="G36" i="7"/>
  <c r="K34" i="7"/>
  <c r="L34" i="7" s="1"/>
  <c r="I35" i="7"/>
  <c r="J36" i="7" l="1"/>
  <c r="G37" i="7"/>
  <c r="K35" i="7"/>
  <c r="L35" i="7" s="1"/>
  <c r="I36" i="7"/>
  <c r="J37" i="7" l="1"/>
  <c r="G38" i="7"/>
  <c r="K36" i="7"/>
  <c r="L36" i="7" s="1"/>
  <c r="I37" i="7"/>
  <c r="J38" i="7" l="1"/>
  <c r="G39" i="7"/>
  <c r="K37" i="7"/>
  <c r="L37" i="7" s="1"/>
  <c r="I38" i="7"/>
  <c r="J39" i="7" l="1"/>
  <c r="G40" i="7"/>
  <c r="K38" i="7"/>
  <c r="L38" i="7" s="1"/>
  <c r="I39" i="7"/>
  <c r="J40" i="7" l="1"/>
  <c r="G41" i="7"/>
  <c r="K39" i="7"/>
  <c r="L39" i="7" s="1"/>
  <c r="I40" i="7"/>
  <c r="J41" i="7" l="1"/>
  <c r="G42" i="7"/>
  <c r="J42" i="7" s="1"/>
  <c r="K40" i="7"/>
  <c r="L40" i="7" s="1"/>
  <c r="I41" i="7"/>
  <c r="K41" i="7" l="1"/>
  <c r="L41" i="7" s="1"/>
  <c r="I42" i="7"/>
  <c r="K42" i="7" s="1"/>
  <c r="L4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SIGAP1</author>
    <author>Deyssi Jeannette Rodriguez Martinez</author>
    <author>Samy Rubyl Palacios Villatoro</author>
    <author>Luis Pedro Utrera Granados</author>
    <author>ADiaz</author>
    <author>LUtrera</author>
    <author>CONAP</author>
    <author>Unidades de Conservación</author>
    <author>Usuario de Windows</author>
  </authors>
  <commentList>
    <comment ref="Q5" authorId="0" shapeId="0" xr:uid="{00000000-0006-0000-0000-000001000000}">
      <text>
        <r>
          <rPr>
            <sz val="9"/>
            <color indexed="81"/>
            <rFont val="宋体"/>
            <charset val="134"/>
          </rPr>
          <t>SIGAP1:
Deben hacer propuesta de nuevo Convenio con vigencia de 10 años. Se debe considerar compromisos de convenio y EVASIGAP para renovar dicho convenio. DDSIGAP traslada oficio 97/2017 del  24 de febrero de 2017 a la regional de Petén para infromar sobre ejecución del convenio</t>
        </r>
      </text>
    </comment>
    <comment ref="W5" authorId="0" shapeId="0" xr:uid="{00000000-0006-0000-0000-000002000000}">
      <text>
        <r>
          <rPr>
            <sz val="9"/>
            <color indexed="81"/>
            <rFont val="宋体"/>
            <charset val="134"/>
          </rPr>
          <t>SIGAP1:
Incluido en el Estudio Técnico de la RBM</t>
        </r>
      </text>
    </comment>
    <comment ref="W6" authorId="0" shapeId="0" xr:uid="{00000000-0006-0000-0000-000003000000}">
      <text>
        <r>
          <rPr>
            <sz val="9"/>
            <color indexed="81"/>
            <rFont val="宋体"/>
            <charset val="134"/>
          </rPr>
          <t>SIGAP1:
Incluido en el Estudio Técnico de la RBM</t>
        </r>
      </text>
    </comment>
    <comment ref="W7" authorId="0" shapeId="0" xr:uid="{00000000-0006-0000-0000-000004000000}">
      <text>
        <r>
          <rPr>
            <sz val="9"/>
            <color indexed="81"/>
            <rFont val="宋体"/>
            <charset val="134"/>
          </rPr>
          <t>SIGAP1:
Incluido en el Estudio Técnico de la RBM</t>
        </r>
      </text>
    </comment>
    <comment ref="W8" authorId="0" shapeId="0" xr:uid="{00000000-0006-0000-0000-000005000000}">
      <text>
        <r>
          <rPr>
            <sz val="9"/>
            <color indexed="81"/>
            <rFont val="宋体"/>
            <charset val="134"/>
          </rPr>
          <t>SIGAP1:
Incluido en el Estudio Técnico de la RBM</t>
        </r>
      </text>
    </comment>
    <comment ref="W9" authorId="0" shapeId="0" xr:uid="{00000000-0006-0000-0000-000006000000}">
      <text>
        <r>
          <rPr>
            <sz val="9"/>
            <color indexed="81"/>
            <rFont val="宋体"/>
            <charset val="134"/>
          </rPr>
          <t>SIGAP1:
Incluido en el Estudio Técnico de la RBM</t>
        </r>
      </text>
    </comment>
    <comment ref="W10" authorId="0" shapeId="0" xr:uid="{00000000-0006-0000-0000-000007000000}">
      <text>
        <r>
          <rPr>
            <sz val="9"/>
            <color indexed="81"/>
            <rFont val="宋体"/>
            <charset val="134"/>
          </rPr>
          <t>SIGAP1:
Incluido en el Estudio Técnico de la RBM</t>
        </r>
      </text>
    </comment>
    <comment ref="O11" authorId="0" shapeId="0" xr:uid="{00000000-0006-0000-0000-000008000000}">
      <text>
        <r>
          <rPr>
            <sz val="9"/>
            <color indexed="81"/>
            <rFont val="宋体"/>
            <charset val="134"/>
          </rPr>
          <t>SIGAP1:
La ley de Creación del Parque manda coordinar  estrechamente al Ministerio de Cultura y deportes y el CONAP</t>
        </r>
      </text>
    </comment>
    <comment ref="Q11" authorId="0" shapeId="0" xr:uid="{00000000-0006-0000-0000-000009000000}">
      <text>
        <r>
          <rPr>
            <sz val="9"/>
            <color indexed="81"/>
            <rFont val="宋体"/>
            <charset val="134"/>
          </rPr>
          <t>SIGAP1:
Debe se Apoyo en la Administración conjunta aunque CONAP es el directo, el decreto dice que la administración estrechamente coordinada con DGPCN del MICUDE</t>
        </r>
      </text>
    </comment>
    <comment ref="R19" authorId="1" shapeId="0" xr:uid="{00000000-0006-0000-0000-00000A000000}">
      <text>
        <r>
          <rPr>
            <sz val="9"/>
            <color indexed="81"/>
            <rFont val="宋体"/>
            <charset val="134"/>
          </rPr>
          <t>Deyssi Jeannette Rodriguez Martinez:
Actualizado con Jacky en septiembre</t>
        </r>
      </text>
    </comment>
    <comment ref="W26" authorId="0" shapeId="0" xr:uid="{00000000-0006-0000-0000-00000B000000}">
      <text>
        <r>
          <rPr>
            <sz val="9"/>
            <color indexed="81"/>
            <rFont val="宋体"/>
            <charset val="134"/>
          </rPr>
          <t>SIGAP1:
FONACON, INAB entregará  consideraciones excepcionales</t>
        </r>
      </text>
    </comment>
    <comment ref="Q28" authorId="0" shapeId="0" xr:uid="{00000000-0006-0000-0000-00000C000000}">
      <text>
        <r>
          <rPr>
            <sz val="9"/>
            <color indexed="81"/>
            <rFont val="宋体"/>
            <charset val="134"/>
          </rPr>
          <t>SIGAP1:
fdn PUEDE PROPONER CONVENIO DE APOYO EN ADM CONJUNTA</t>
        </r>
      </text>
    </comment>
    <comment ref="J30" authorId="0" shapeId="0" xr:uid="{00000000-0006-0000-0000-00000D000000}">
      <text>
        <r>
          <rPr>
            <sz val="9"/>
            <color indexed="81"/>
            <rFont val="宋体"/>
            <charset val="134"/>
          </rPr>
          <t>SIGAP1:
Se modifica hectareaje según Resolución  03-35-2016</t>
        </r>
      </text>
    </comment>
    <comment ref="J31" authorId="2" shapeId="0" xr:uid="{00000000-0006-0000-0000-00000E000000}">
      <text>
        <r>
          <rPr>
            <sz val="9"/>
            <color indexed="81"/>
            <rFont val="宋体"/>
            <charset val="134"/>
          </rPr>
          <t>Samy Rubyl Palacios Villatoro:
Se modifica a éste hectareaje según Resolución 06-16-2016 del Consejo de CONAP, publicado en Diario Oficial en fecha 26/08/2016</t>
        </r>
      </text>
    </comment>
    <comment ref="Q40" authorId="0" shapeId="0" xr:uid="{00000000-0006-0000-0000-00000F000000}">
      <text>
        <r>
          <rPr>
            <sz val="9"/>
            <color indexed="81"/>
            <rFont val="宋体"/>
            <charset val="134"/>
          </rPr>
          <t>SIGAP1:
Se dictamina de la Regional de DRAO y de la Central técnica y legalmente avalando cese del convenio de coadministración. Al tener dictamen se cambiará a cancelado.
Sergio Vasquez
Mediante oficios SE 0879/2018/EMFR-cbcb y SE 0880/2018/EMFR-cbcb se notifica a ASAECO y Municipalidad de San Martín 
Sacatepéquez, de que queda sin efecto el convenio de Coadministración</t>
        </r>
      </text>
    </comment>
    <comment ref="W41" authorId="0" shapeId="0" xr:uid="{00000000-0006-0000-0000-000010000000}">
      <text>
        <r>
          <rPr>
            <sz val="9"/>
            <color indexed="81"/>
            <rFont val="宋体"/>
            <charset val="134"/>
          </rPr>
          <t>SIGAP1:
FONACON CLMECAC</t>
        </r>
      </text>
    </comment>
    <comment ref="Q51" authorId="2" shapeId="0" xr:uid="{00000000-0006-0000-0000-000011000000}">
      <text>
        <r>
          <rPr>
            <sz val="9"/>
            <color indexed="81"/>
            <rFont val="宋体"/>
            <charset val="134"/>
          </rPr>
          <t>Samy Rubyl Palacios Villatoro:
Caducó el 20/8/2013</t>
        </r>
      </text>
    </comment>
    <comment ref="B52" authorId="0" shapeId="0" xr:uid="{00000000-0006-0000-0000-000012000000}">
      <text>
        <r>
          <rPr>
            <sz val="9"/>
            <color indexed="81"/>
            <rFont val="宋体"/>
            <charset val="134"/>
          </rPr>
          <t>SIGAP1:
Éste código debió desaparecer junto con el Área Volcán Quetzaktepeque y no asignarlo a ZVD Pacaya</t>
        </r>
      </text>
    </comment>
    <comment ref="W57" authorId="0" shapeId="0" xr:uid="{00000000-0006-0000-0000-000013000000}">
      <text>
        <r>
          <rPr>
            <sz val="9"/>
            <color indexed="81"/>
            <rFont val="宋体"/>
            <charset val="134"/>
          </rPr>
          <t>SIGAP1:
Helvetas concluyo apoyo económico y el proceso quedó pendiente. Se retomará nuevamente la elaboración de ET actualizando la información con el hectareaje nuevo</t>
        </r>
      </text>
    </comment>
    <comment ref="W60" authorId="0" shapeId="0" xr:uid="{00000000-0006-0000-0000-000014000000}">
      <text>
        <r>
          <rPr>
            <sz val="9"/>
            <color indexed="81"/>
            <rFont val="宋体"/>
            <charset val="134"/>
          </rPr>
          <t>SIGAP1:
FONACON CALMECAC</t>
        </r>
      </text>
    </comment>
    <comment ref="J63" authorId="0" shapeId="0" xr:uid="{00000000-0006-0000-0000-000015000000}">
      <text>
        <r>
          <rPr>
            <sz val="9"/>
            <color indexed="81"/>
            <rFont val="宋体"/>
            <charset val="134"/>
          </rPr>
          <t>SIGAP1:
Se modifica hectareaje según resolución HCONAP01-35-2016</t>
        </r>
      </text>
    </comment>
    <comment ref="D64" authorId="2" shapeId="0" xr:uid="{00000000-0006-0000-0000-000016000000}">
      <text>
        <r>
          <rPr>
            <sz val="9"/>
            <color indexed="81"/>
            <rFont val="宋体"/>
            <charset val="134"/>
          </rPr>
          <t>Samy Rubyl Palacios Villatoro:
El Acuerdo nunca fue publicado en el Diario Oficial. Pero se emplea el artículo 89 de la Ley de áreas protegidas  para considerarla como AP</t>
        </r>
      </text>
    </comment>
    <comment ref="W64" authorId="0" shapeId="0" xr:uid="{00000000-0006-0000-0000-000017000000}">
      <text>
        <r>
          <rPr>
            <sz val="9"/>
            <color indexed="81"/>
            <rFont val="宋体"/>
            <charset val="134"/>
          </rPr>
          <t>SIGAP1:
Proyecto GEF Marino Costero</t>
        </r>
      </text>
    </comment>
    <comment ref="L65" authorId="3" shapeId="0" xr:uid="{00000000-0006-0000-0000-000018000000}">
      <text>
        <r>
          <rPr>
            <sz val="9"/>
            <color indexed="81"/>
            <rFont val="宋体"/>
            <charset val="134"/>
          </rPr>
          <t>Luis Pedro Utrera Granados:
Revisar si no es el 30/08/1961</t>
        </r>
      </text>
    </comment>
    <comment ref="C67" authorId="0" shapeId="0" xr:uid="{00000000-0006-0000-0000-000019000000}">
      <text>
        <r>
          <rPr>
            <sz val="9"/>
            <color indexed="81"/>
            <rFont val="宋体"/>
            <charset val="134"/>
          </rPr>
          <t>SIGAP1:
Según oficio UAJ-543/2017OAGR-ejmcm de fecha 31/1072017</t>
        </r>
      </text>
    </comment>
    <comment ref="D67" authorId="0" shapeId="0" xr:uid="{00000000-0006-0000-0000-00001A000000}">
      <text>
        <r>
          <rPr>
            <sz val="9"/>
            <color indexed="81"/>
            <rFont val="宋体"/>
            <charset val="134"/>
          </rPr>
          <t>SIGAP1:
Pendiente de definirse por el E.T.</t>
        </r>
      </text>
    </comment>
    <comment ref="W67" authorId="0" shapeId="0" xr:uid="{00000000-0006-0000-0000-00001B000000}">
      <text>
        <r>
          <rPr>
            <sz val="9"/>
            <color indexed="81"/>
            <rFont val="宋体"/>
            <charset val="134"/>
          </rPr>
          <t>SIGAP1:
Proyecto GEF Marino Costero</t>
        </r>
      </text>
    </comment>
    <comment ref="J69" authorId="2" shapeId="0" xr:uid="{00000000-0006-0000-0000-00001C000000}">
      <text>
        <r>
          <rPr>
            <sz val="9"/>
            <color indexed="81"/>
            <rFont val="宋体"/>
            <charset val="134"/>
          </rPr>
          <t>Samy Rubyl Palacios Villatoro:
Se modifica a este hectareaje según Resolución 04-16-2016 del Consejo Nacional de CONAP de fecha 7/junio /2016 publicado en Diario Oficial en fecha 26/08/2016</t>
        </r>
      </text>
    </comment>
    <comment ref="Q70" authorId="2" shapeId="0" xr:uid="{00000000-0006-0000-0000-00001D000000}">
      <text>
        <r>
          <rPr>
            <sz val="9"/>
            <color indexed="81"/>
            <rFont val="宋体"/>
            <charset val="134"/>
          </rPr>
          <t>Samy Rubyl Palacios Villatoro:
Ya Caducó el 30/11/2015 Aplicando el nuevo reglamento de coadministración El CONAP debe elaborar Concurso público</t>
        </r>
      </text>
    </comment>
    <comment ref="Q72" authorId="0" shapeId="0" xr:uid="{00000000-0006-0000-0000-00001E000000}">
      <text>
        <r>
          <rPr>
            <sz val="9"/>
            <color indexed="81"/>
            <rFont val="宋体"/>
            <charset val="134"/>
          </rPr>
          <t>SIGAP1:
FDN puede proponer convenio de apoyo en administración conjunta</t>
        </r>
      </text>
    </comment>
    <comment ref="I75" authorId="3" shapeId="0" xr:uid="{00000000-0006-0000-0000-00001F000000}">
      <text>
        <r>
          <rPr>
            <sz val="9"/>
            <color indexed="81"/>
            <rFont val="宋体"/>
            <charset val="134"/>
          </rPr>
          <t>Luis Pedro Utrera Granados:
Dato difiere no significativamente de Libro Jurídico</t>
        </r>
      </text>
    </comment>
    <comment ref="Q77" authorId="0" shapeId="0" xr:uid="{00000000-0006-0000-0000-000020000000}">
      <text>
        <r>
          <rPr>
            <sz val="9"/>
            <color indexed="81"/>
            <rFont val="宋体"/>
            <charset val="134"/>
          </rPr>
          <t>SIGAP1:
Dependiendo del análisis jurídico de la Resolución donde HCONAP otorga la administración del Área a FDN, ésta ONG hara una solicitud a conap y se elaborará convenio de coadministración.</t>
        </r>
      </text>
    </comment>
    <comment ref="W77" authorId="0" shapeId="0" xr:uid="{00000000-0006-0000-0000-000021000000}">
      <text>
        <r>
          <rPr>
            <sz val="9"/>
            <color indexed="81"/>
            <rFont val="宋体"/>
            <charset val="134"/>
          </rPr>
          <t>SIGAP1:
Tomo Verde/ Centro de documentación</t>
        </r>
      </text>
    </comment>
    <comment ref="C78" authorId="4" shapeId="0" xr:uid="{00000000-0006-0000-0000-000022000000}">
      <text>
        <r>
          <rPr>
            <sz val="9"/>
            <color indexed="81"/>
            <rFont val="宋体"/>
            <charset val="134"/>
          </rPr>
          <t>ADiaz:
Se hizo cambio debido a estaba como Canaima y la resolución dice Puerto Viejo. Libro SIGAP no especifica nombre</t>
        </r>
      </text>
    </comment>
    <comment ref="Q80" authorId="0" shapeId="0" xr:uid="{00000000-0006-0000-0000-000023000000}">
      <text>
        <r>
          <rPr>
            <sz val="9"/>
            <color indexed="81"/>
            <rFont val="宋体"/>
            <charset val="134"/>
          </rPr>
          <t>SIGAP1:
El decreto 129-96 dice que la SECONAP la delegará en un Consejo Ejecutivo local. Menciona además que la Secretaría ejecutiva de Cerro San Gil  se adjudicará por licitación</t>
        </r>
      </text>
    </comment>
    <comment ref="Q81" authorId="0" shapeId="0" xr:uid="{00000000-0006-0000-0000-000024000000}">
      <text>
        <r>
          <rPr>
            <sz val="9"/>
            <color indexed="81"/>
            <rFont val="宋体"/>
            <charset val="134"/>
          </rPr>
          <t>SIGAP1:
Debe regularizarse. Un nuevo convenio pero de Apoyo en la administración conjunta</t>
        </r>
      </text>
    </comment>
    <comment ref="R81" authorId="4" shapeId="0" xr:uid="{00000000-0006-0000-0000-000025000000}">
      <text>
        <r>
          <rPr>
            <sz val="9"/>
            <color indexed="81"/>
            <rFont val="宋体"/>
            <charset val="134"/>
          </rPr>
          <t>ADiaz:
Plan maestro impreso, no es el plan maestro aprobado. Modificaciones según Resolución de HC 1-12-2005</t>
        </r>
      </text>
    </comment>
    <comment ref="Q84" authorId="0" shapeId="0" xr:uid="{00000000-0006-0000-0000-000026000000}">
      <text>
        <r>
          <rPr>
            <sz val="9"/>
            <color indexed="81"/>
            <rFont val="宋体"/>
            <charset val="134"/>
          </rPr>
          <t>SIGAP1:
El convenio de coadministración  firmado el  12/12/2007 no es válido porque no se siguió lo establecido en el reglamento del 2007. Además co el nuevo reglamento no aplica la coadministración , sino que el modelo de apoyo en la Administración Conjunta. Se está en espera del dictamen jurídico para el cese de dicho convenio.</t>
        </r>
      </text>
    </comment>
    <comment ref="W90" authorId="0" shapeId="0" xr:uid="{00000000-0006-0000-0000-000027000000}">
      <text>
        <r>
          <rPr>
            <sz val="9"/>
            <color indexed="81"/>
            <rFont val="宋体"/>
            <charset val="134"/>
          </rPr>
          <t>SIGAP1:
Solamente se tiene el documento del E.T. pero no la aprobación del consejo</t>
        </r>
      </text>
    </comment>
    <comment ref="J92" authorId="0" shapeId="0" xr:uid="{00000000-0006-0000-0000-000028000000}">
      <text>
        <r>
          <rPr>
            <sz val="9"/>
            <color indexed="81"/>
            <rFont val="宋体"/>
            <charset val="134"/>
          </rPr>
          <t>SIGAP1:
Se excluyen 46.02 ha según Resolución 106/2017 de fecha 27/03/2017. Las hectareas excluidas son para uso de un basurero municipal</t>
        </r>
      </text>
    </comment>
    <comment ref="Q93" authorId="0" shapeId="0" xr:uid="{00000000-0006-0000-0000-000029000000}">
      <text>
        <r>
          <rPr>
            <sz val="9"/>
            <color indexed="81"/>
            <rFont val="宋体"/>
            <charset val="134"/>
          </rPr>
          <t>SIGAP1:
Deben hacer propuesta de nuevo Convenio con vigencia de 10 años. Se debe considerar compromisos de convenio y EVASIGAP para renovar dicho convenio. Se solicita a ADISO  através de oficio DDSIGAP 145-2017 JFCE/srpv de fecha 14/03/2017 actualizar el convenio en coordinación con la Dirección regional de Suroriente quien lidera y la DDSIGAP.</t>
        </r>
      </text>
    </comment>
    <comment ref="Z93" authorId="5" shapeId="0" xr:uid="{00000000-0006-0000-0000-00002A000000}">
      <text>
        <r>
          <rPr>
            <sz val="9"/>
            <color indexed="81"/>
            <rFont val="宋体"/>
            <charset val="134"/>
          </rPr>
          <t>LUtrera:
Revisar la Resolución CONAP 47-98</t>
        </r>
      </text>
    </comment>
    <comment ref="J105" authorId="2" shapeId="0" xr:uid="{00000000-0006-0000-0000-00002B000000}">
      <text>
        <r>
          <rPr>
            <sz val="9"/>
            <color indexed="81"/>
            <rFont val="宋体"/>
            <charset val="134"/>
          </rPr>
          <t>Samy Rubyl Palacios Villatoro:
Se desisnscriben 74.2 Ha del total inscrito (301.5ha) según Resolución 049/2016 de fecha 16 de febrero de 2016</t>
        </r>
      </text>
    </comment>
    <comment ref="I116" authorId="4" shapeId="0" xr:uid="{00000000-0006-0000-0000-00002C000000}">
      <text>
        <r>
          <rPr>
            <sz val="9"/>
            <color indexed="81"/>
            <rFont val="宋体"/>
            <charset val="134"/>
          </rPr>
          <t xml:space="preserve">DJRM:
Modificada de 821.41 a 841.41 14/07/2015. Resolución SE-CONAP 309/2015 </t>
        </r>
      </text>
    </comment>
    <comment ref="K116" authorId="4" shapeId="0" xr:uid="{00000000-0006-0000-0000-00002D000000}">
      <text>
        <r>
          <rPr>
            <sz val="9"/>
            <color indexed="81"/>
            <rFont val="宋体"/>
            <charset val="134"/>
          </rPr>
          <t>DJRM:
Modificada de 821.41 a 841.41 14/07/2015. Según Resolución SE-CONAP 309/2015</t>
        </r>
      </text>
    </comment>
    <comment ref="L116" authorId="4" shapeId="0" xr:uid="{00000000-0006-0000-0000-00002E000000}">
      <text>
        <r>
          <rPr>
            <sz val="9"/>
            <color indexed="81"/>
            <rFont val="宋体"/>
            <charset val="134"/>
          </rPr>
          <t>ADiaz:
Se modificó el área de 821.41 a 841.41 dando lugar a la Ampliación del Registro.</t>
        </r>
      </text>
    </comment>
    <comment ref="Z116" authorId="4" shapeId="0" xr:uid="{00000000-0006-0000-0000-00002F000000}">
      <text>
        <r>
          <rPr>
            <sz val="9"/>
            <color indexed="81"/>
            <rFont val="宋体"/>
            <charset val="134"/>
          </rPr>
          <t>ADiaz:
Se modificó el área de 821.41 a 841.41 dando lugar a la Ampliación del Registro.</t>
        </r>
      </text>
    </comment>
    <comment ref="C136" authorId="3" shapeId="0" xr:uid="{00000000-0006-0000-0000-000030000000}">
      <text>
        <r>
          <rPr>
            <sz val="9"/>
            <color indexed="81"/>
            <rFont val="宋体"/>
            <charset val="134"/>
          </rPr>
          <t>LPUG: Se aprobó modificación de la extensión original de 670 has.</t>
        </r>
      </text>
    </comment>
    <comment ref="M144" authorId="3" shapeId="0" xr:uid="{00000000-0006-0000-0000-000031000000}">
      <text>
        <r>
          <rPr>
            <sz val="9"/>
            <color indexed="81"/>
            <rFont val="宋体"/>
            <charset val="134"/>
          </rPr>
          <t>Luis Pedro Utrera Granados:
Revisar con USE fecha de declaratoria.</t>
        </r>
      </text>
    </comment>
    <comment ref="Q146" authorId="0" shapeId="0" xr:uid="{00000000-0006-0000-0000-000032000000}">
      <text>
        <r>
          <rPr>
            <sz val="9"/>
            <color indexed="81"/>
            <rFont val="宋体"/>
            <charset val="134"/>
          </rPr>
          <t>SIGAP1:
El convenio firmado no es valido porque se hizo antes de que saliera el decreto de creación del área. Además el decreto dice que debe hacerse proceso de licitación.</t>
        </r>
      </text>
    </comment>
    <comment ref="W146" authorId="0" shapeId="0" xr:uid="{00000000-0006-0000-0000-000033000000}">
      <text>
        <r>
          <rPr>
            <sz val="9"/>
            <color indexed="81"/>
            <rFont val="宋体"/>
            <charset val="134"/>
          </rPr>
          <t>SIGAP1:
Tomo Verde /página 1 Centro de Documentación</t>
        </r>
      </text>
    </comment>
    <comment ref="Q147" authorId="0" shapeId="0" xr:uid="{00000000-0006-0000-0000-000034000000}">
      <text>
        <r>
          <rPr>
            <sz val="9"/>
            <color indexed="81"/>
            <rFont val="宋体"/>
            <charset val="134"/>
          </rPr>
          <t>SIGAP1:
debe haber proceso de Licitación</t>
        </r>
      </text>
    </comment>
    <comment ref="I148" authorId="0" shapeId="0" xr:uid="{00000000-0006-0000-0000-000035000000}">
      <text>
        <r>
          <rPr>
            <sz val="9"/>
            <color indexed="81"/>
            <rFont val="宋体"/>
            <charset val="134"/>
          </rPr>
          <t>SIGAP1:
Se suman 123.55 ha de la zona de amortiguamiento medida por el RIC. Resolución 05/03/2014</t>
        </r>
      </text>
    </comment>
    <comment ref="Q148" authorId="0" shapeId="0" xr:uid="{00000000-0006-0000-0000-000036000000}">
      <text>
        <r>
          <rPr>
            <sz val="9"/>
            <color indexed="81"/>
            <rFont val="宋体"/>
            <charset val="134"/>
          </rPr>
          <t>SIGAP1:
No tiene ningún convenio</t>
        </r>
      </text>
    </comment>
    <comment ref="K158" authorId="3" shapeId="0" xr:uid="{00000000-0006-0000-0000-000037000000}">
      <text>
        <r>
          <rPr>
            <sz val="9"/>
            <color indexed="81"/>
            <rFont val="宋体"/>
            <charset val="134"/>
          </rPr>
          <t>Luis Pedro Utrera Granados:
Libro jurídico aparece extensión de 38.418 ha</t>
        </r>
      </text>
    </comment>
    <comment ref="K160" authorId="3" shapeId="0" xr:uid="{00000000-0006-0000-0000-000038000000}">
      <text>
        <r>
          <rPr>
            <sz val="9"/>
            <color indexed="81"/>
            <rFont val="宋体"/>
            <charset val="134"/>
          </rPr>
          <t>Luis Pedro Utrera Granados:
Libro jurídico aparece extensión 62.876 ha</t>
        </r>
      </text>
    </comment>
    <comment ref="C166" authorId="6" shapeId="0" xr:uid="{00000000-0006-0000-0000-000039000000}">
      <text>
        <r>
          <rPr>
            <b/>
            <sz val="9"/>
            <color indexed="81"/>
            <rFont val="Tahoma"/>
            <charset val="1"/>
          </rPr>
          <t>CONAP:</t>
        </r>
        <r>
          <rPr>
            <sz val="9"/>
            <color indexed="81"/>
            <rFont val="Tahoma"/>
            <charset val="1"/>
          </rPr>
          <t xml:space="preserve">
El nombre del "Astillero Municipal 1 y 2 de San Pedro Sacatepequez San Marcos" fue modificado a "Parque Regional Municipal Quetzalí", mediante la Resolución 377/2017, de fecha 20 de diciembre del 2017.</t>
        </r>
      </text>
    </comment>
    <comment ref="I206" authorId="2" shapeId="0" xr:uid="{00000000-0006-0000-0000-00003A000000}">
      <text>
        <r>
          <rPr>
            <sz val="9"/>
            <color indexed="81"/>
            <rFont val="宋体"/>
            <charset val="134"/>
          </rPr>
          <t>Samy Rubyl Palacios Villatoro:
Se retiran 54.29 ha de una propiedad privada incluida dentro del PRM</t>
        </r>
      </text>
    </comment>
    <comment ref="J240" authorId="1" shapeId="0" xr:uid="{00000000-0006-0000-0000-00003B000000}">
      <text>
        <r>
          <rPr>
            <sz val="9"/>
            <color indexed="81"/>
            <rFont val="宋体"/>
            <charset val="134"/>
          </rPr>
          <t xml:space="preserve">Deyssi Jeannette Rodriguez Martinez:
Este es el valor neto que aumenta al SIGAP debido a que el resto del área de la RNP Setal se encuentra dentro de la zona de recuperación del área de RVS Bocas del Polochic. </t>
        </r>
      </text>
    </comment>
    <comment ref="I267" authorId="0" shapeId="0" xr:uid="{00000000-0006-0000-0000-00003C000000}">
      <text>
        <r>
          <rPr>
            <sz val="9"/>
            <color indexed="81"/>
            <rFont val="宋体"/>
            <charset val="134"/>
          </rPr>
          <t>SIGAP1:
Se realiza modificación según Resolución 374/2017 de fecha 20 de diciembre de 2017 donde se cambia el hectareaje de 218.50 has a 218.3536 has</t>
        </r>
      </text>
    </comment>
    <comment ref="B269" authorId="1" shapeId="0" xr:uid="{00000000-0006-0000-0000-00003D000000}">
      <text>
        <r>
          <rPr>
            <sz val="9"/>
            <color indexed="81"/>
            <rFont val="宋体"/>
            <charset val="134"/>
          </rPr>
          <t>Deyssi Jeannette Rodriguez Martinez:
Modificado al 10/12/2015 según resolución SECONAP 331/2014 de fecha 30 de julio del 2014. Se desinscriben 2.61 hectáreas, lo cual reduce le área a 1,797.39 hectareas.</t>
        </r>
      </text>
    </comment>
    <comment ref="C269" authorId="3" shapeId="0" xr:uid="{00000000-0006-0000-0000-00003E000000}">
      <text>
        <r>
          <rPr>
            <sz val="9"/>
            <color indexed="81"/>
            <rFont val="宋体"/>
            <charset val="134"/>
          </rPr>
          <t>Luis Pedro Utrera: Astillero Municipal Aldeas Villa Hermosa, Pojopon, Buena Vista, Carrizal, Cantón San Isidro y Villa Nueva.</t>
        </r>
      </text>
    </comment>
    <comment ref="J269" authorId="1" shapeId="0" xr:uid="{00000000-0006-0000-0000-00003F000000}">
      <text>
        <r>
          <rPr>
            <sz val="9"/>
            <color indexed="81"/>
            <rFont val="宋体"/>
            <charset val="134"/>
          </rPr>
          <t>Deyssi Jeannette Rodriguez Martinez:
Modificado al 10/12/2015 según resolución SECONAP 331/2014 de fecha 30 de julio del 2014. Se desinscriben 2.61 hectáreas de las 1,800 hectareas con la que originalmente fue inscrita, lo cual reduce le área a 1,797.39 hectareas.</t>
        </r>
      </text>
    </comment>
    <comment ref="C294" authorId="4" shapeId="0" xr:uid="{00000000-0006-0000-0000-000040000000}">
      <text>
        <r>
          <rPr>
            <sz val="9"/>
            <color indexed="81"/>
            <rFont val="宋体"/>
            <charset val="134"/>
          </rPr>
          <t>ADiaz:
Tambien conocido como El Limonar</t>
        </r>
      </text>
    </comment>
    <comment ref="I299" authorId="7" shapeId="0" xr:uid="{00000000-0006-0000-0000-000041000000}">
      <text>
        <r>
          <rPr>
            <sz val="9"/>
            <color indexed="81"/>
            <rFont val="宋体"/>
            <charset val="134"/>
          </rPr>
          <t>Unidades de Conservación:
Dato de resolución que difiere del Libro Jurídico en céntimas.</t>
        </r>
      </text>
    </comment>
    <comment ref="N299" authorId="8" shapeId="0" xr:uid="{00000000-0006-0000-0000-000042000000}">
      <text>
        <r>
          <rPr>
            <sz val="9"/>
            <color indexed="81"/>
            <rFont val="宋体"/>
            <charset val="134"/>
          </rPr>
          <t>Usuario de Windows:
Sin fecha en el Libro Jurídico. 2013 por reporte de Presidencia.</t>
        </r>
      </text>
    </comment>
    <comment ref="I300" authorId="7" shapeId="0" xr:uid="{00000000-0006-0000-0000-000043000000}">
      <text>
        <r>
          <rPr>
            <sz val="9"/>
            <color indexed="81"/>
            <rFont val="宋体"/>
            <charset val="134"/>
          </rPr>
          <t>Unidades de Conservación:
Dato de resolución que difiere del Libro Jurídico en céntimas.</t>
        </r>
      </text>
    </comment>
    <comment ref="N300" authorId="8" shapeId="0" xr:uid="{00000000-0006-0000-0000-000044000000}">
      <text>
        <r>
          <rPr>
            <sz val="9"/>
            <color indexed="81"/>
            <rFont val="宋体"/>
            <charset val="134"/>
          </rPr>
          <t>Usuario de Windows:
Sin fecha en Libro Jurídico. 2013 por informe presidencial 2012. US&amp;E</t>
        </r>
      </text>
    </comment>
    <comment ref="N301" authorId="3" shapeId="0" xr:uid="{00000000-0006-0000-0000-000045000000}">
      <text>
        <r>
          <rPr>
            <sz val="9"/>
            <color indexed="81"/>
            <rFont val="宋体"/>
            <charset val="134"/>
          </rPr>
          <t>Luis Pedro Utrera Granados:
Revisar fecha.</t>
        </r>
      </text>
    </comment>
    <comment ref="C302" authorId="0" shapeId="0" xr:uid="{00000000-0006-0000-0000-000046000000}">
      <text>
        <r>
          <rPr>
            <sz val="9"/>
            <color indexed="81"/>
            <rFont val="宋体"/>
            <charset val="134"/>
          </rPr>
          <t>SIGAP1:
Sergio Vasquez
Se modifica el Nombre de los Regadillos por el de Parque Regional Municipal de Huehuetenango, Reserva de Manantiales.</t>
        </r>
      </text>
    </comment>
    <comment ref="G302" authorId="8" shapeId="0" xr:uid="{00000000-0006-0000-0000-000047000000}">
      <text>
        <r>
          <rPr>
            <sz val="9"/>
            <color indexed="81"/>
            <rFont val="宋体"/>
            <charset val="134"/>
          </rPr>
          <t xml:space="preserve">DUC: Ubicado en Chiantla, propiedad municipal de Huehutenango (administrador)
</t>
        </r>
      </text>
    </comment>
    <comment ref="C311" authorId="3" shapeId="0" xr:uid="{00000000-0006-0000-0000-000048000000}">
      <text>
        <r>
          <rPr>
            <sz val="9"/>
            <color indexed="81"/>
            <rFont val="宋体"/>
            <charset val="134"/>
          </rPr>
          <t>Luis Pedro Utrera Granados:
En la resolución "Los Peñas". En Libro Jurídico "Los Peña".</t>
        </r>
      </text>
    </comment>
    <comment ref="Q316" authorId="0" shapeId="0" xr:uid="{00000000-0006-0000-0000-000049000000}">
      <text>
        <r>
          <rPr>
            <sz val="9"/>
            <color indexed="81"/>
            <rFont val="宋体"/>
            <charset val="134"/>
          </rPr>
          <t>SIGAP1:
No existe ningún convenio al momento. El decreto dice que debe hacerse concurso público.</t>
        </r>
      </text>
    </comment>
    <comment ref="W316" authorId="0" shapeId="0" xr:uid="{00000000-0006-0000-0000-00004A000000}">
      <text>
        <r>
          <rPr>
            <sz val="9"/>
            <color indexed="81"/>
            <rFont val="宋体"/>
            <charset val="134"/>
          </rPr>
          <t>SIGAP1:
Tomo Verde/ Centro de Documentación</t>
        </r>
      </text>
    </comment>
    <comment ref="J327" authorId="1" shapeId="0" xr:uid="{00000000-0006-0000-0000-00004B000000}">
      <text>
        <r>
          <rPr>
            <sz val="9"/>
            <color indexed="81"/>
            <rFont val="宋体"/>
            <charset val="134"/>
          </rPr>
          <t>Deyssi Jeannette Rodriguez Martinez:
Falta verificar traslape con otra RNP error en Shape.</t>
        </r>
      </text>
    </comment>
    <comment ref="X327" authorId="4" shapeId="0" xr:uid="{00000000-0006-0000-0000-00004C000000}">
      <text>
        <r>
          <rPr>
            <sz val="9"/>
            <color indexed="81"/>
            <rFont val="宋体"/>
            <charset val="134"/>
          </rPr>
          <t>ADiaz:
Pendiente e solicitar al SIG</t>
        </r>
      </text>
    </comment>
    <comment ref="J329" authorId="1" shapeId="0" xr:uid="{00000000-0006-0000-0000-00004D000000}">
      <text>
        <r>
          <rPr>
            <sz val="9"/>
            <color indexed="81"/>
            <rFont val="宋体"/>
            <charset val="134"/>
          </rPr>
          <t>Deyssi Jeannette Rodriguez Martinez:
Incluida dentro de la RUMCLA. En la zona Cultural y Altamente Poblada.</t>
        </r>
      </text>
    </comment>
    <comment ref="X329" authorId="1" shapeId="0" xr:uid="{00000000-0006-0000-0000-00004E000000}">
      <text>
        <r>
          <rPr>
            <sz val="9"/>
            <color indexed="81"/>
            <rFont val="宋体"/>
            <charset val="134"/>
          </rPr>
          <t>Deyssi Jeannette Rodriguez Martinez:
Pendiente e solicitar al SIG</t>
        </r>
      </text>
    </comment>
    <comment ref="Q330" authorId="0" shapeId="0" xr:uid="{00000000-0006-0000-0000-00004F000000}">
      <text>
        <r>
          <rPr>
            <sz val="9"/>
            <color indexed="81"/>
            <rFont val="宋体"/>
            <charset val="134"/>
          </rPr>
          <t>SIGAP1:
El convenio fue firmado antes del decreto por lo que no es válido y además debe hacerse concurso público según decreto</t>
        </r>
      </text>
    </comment>
    <comment ref="W330" authorId="0" shapeId="0" xr:uid="{00000000-0006-0000-0000-000050000000}">
      <text>
        <r>
          <rPr>
            <sz val="9"/>
            <color indexed="81"/>
            <rFont val="宋体"/>
            <charset val="134"/>
          </rPr>
          <t>SIGAP1:
Proyecto GEF Marino Costero</t>
        </r>
      </text>
    </comment>
    <comment ref="J336" authorId="0" shapeId="0" xr:uid="{00000000-0006-0000-0000-000051000000}">
      <text>
        <r>
          <rPr>
            <sz val="9"/>
            <color indexed="81"/>
            <rFont val="宋体"/>
            <charset val="134"/>
          </rPr>
          <t xml:space="preserve">SIGAP1:
Sergio Vasquez
Se modifica el Poligono y la extensión de acuerdo a la Resolución SE 142/2019.
</t>
        </r>
      </text>
    </comment>
    <comment ref="J346" authorId="0" shapeId="0" xr:uid="{00000000-0006-0000-0000-000052000000}">
      <text>
        <r>
          <rPr>
            <sz val="9"/>
            <color indexed="81"/>
            <rFont val="宋体"/>
            <charset val="134"/>
          </rPr>
          <t>SIGAP1:
Sergio Vasquez
El 16.54 del total del área a declarar, esta fuera de área Protegida el resto esta dentro de las ZVD Volcanes Fuego y Acatenango</t>
        </r>
      </text>
    </comment>
    <comment ref="X346" authorId="0" shapeId="0" xr:uid="{00000000-0006-0000-0000-000053000000}">
      <text>
        <r>
          <rPr>
            <sz val="9"/>
            <color indexed="81"/>
            <rFont val="宋体"/>
            <charset val="134"/>
          </rPr>
          <t>SIGAP1:
Sergio vasquez
El 83.46 del área declarada como PRM está dentro de ZVD Volcán de fuego y Acatenango</t>
        </r>
      </text>
    </comment>
    <comment ref="J352" authorId="2" shapeId="0" xr:uid="{00000000-0006-0000-0000-000054000000}">
      <text>
        <r>
          <rPr>
            <sz val="9"/>
            <color indexed="81"/>
            <rFont val="宋体"/>
            <charset val="134"/>
          </rPr>
          <t>Samy Rubyl Palacios Villatoro:
No incluye área sobre área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SIGAP1</author>
    <author>Deyssi Jeannette Rodriguez Martinez</author>
    <author>Samy Rubyl Palacios Villatoro</author>
    <author>Luis Pedro Utrera Granados</author>
    <author>ADiaz</author>
    <author>LUtrera</author>
  </authors>
  <commentList>
    <comment ref="Q5" authorId="0" shapeId="0" xr:uid="{00000000-0006-0000-1800-000001000000}">
      <text>
        <r>
          <rPr>
            <sz val="9"/>
            <color indexed="81"/>
            <rFont val="宋体"/>
            <charset val="134"/>
          </rPr>
          <t>SIGAP1:
Deben hacer propuesta de nuevo Convenio con vigencia de 10 años. Se debe considerar compromisos de convenio y EVASIGAP para renovar dicho convenio</t>
        </r>
      </text>
    </comment>
    <comment ref="W5" authorId="0" shapeId="0" xr:uid="{00000000-0006-0000-1800-000002000000}">
      <text>
        <r>
          <rPr>
            <sz val="9"/>
            <color indexed="81"/>
            <rFont val="宋体"/>
            <charset val="134"/>
          </rPr>
          <t>SIGAP1:
Incluido en el Estudio Técnico de la RBM</t>
        </r>
      </text>
    </comment>
    <comment ref="W6" authorId="0" shapeId="0" xr:uid="{00000000-0006-0000-1800-000003000000}">
      <text>
        <r>
          <rPr>
            <sz val="9"/>
            <color indexed="81"/>
            <rFont val="宋体"/>
            <charset val="134"/>
          </rPr>
          <t>SIGAP1:
Incluido en el Estudio Técnico de la RBM</t>
        </r>
      </text>
    </comment>
    <comment ref="W7" authorId="0" shapeId="0" xr:uid="{00000000-0006-0000-1800-000004000000}">
      <text>
        <r>
          <rPr>
            <sz val="9"/>
            <color indexed="81"/>
            <rFont val="宋体"/>
            <charset val="134"/>
          </rPr>
          <t>SIGAP1:
Incluido en el Estudio Técnico de la RBM</t>
        </r>
      </text>
    </comment>
    <comment ref="W8" authorId="0" shapeId="0" xr:uid="{00000000-0006-0000-1800-000005000000}">
      <text>
        <r>
          <rPr>
            <sz val="9"/>
            <color indexed="81"/>
            <rFont val="宋体"/>
            <charset val="134"/>
          </rPr>
          <t>SIGAP1:
Incluido en el Estudio Técnico de la RBM</t>
        </r>
      </text>
    </comment>
    <comment ref="W9" authorId="0" shapeId="0" xr:uid="{00000000-0006-0000-1800-000006000000}">
      <text>
        <r>
          <rPr>
            <sz val="9"/>
            <color indexed="81"/>
            <rFont val="宋体"/>
            <charset val="134"/>
          </rPr>
          <t>SIGAP1:
Incluido en el Estudio Técnico de la RBM</t>
        </r>
      </text>
    </comment>
    <comment ref="W10" authorId="0" shapeId="0" xr:uid="{00000000-0006-0000-1800-000007000000}">
      <text>
        <r>
          <rPr>
            <sz val="9"/>
            <color indexed="81"/>
            <rFont val="宋体"/>
            <charset val="134"/>
          </rPr>
          <t>SIGAP1:
Incluido en el Estudio Técnico de la RBM</t>
        </r>
      </text>
    </comment>
    <comment ref="O11" authorId="0" shapeId="0" xr:uid="{00000000-0006-0000-1800-000008000000}">
      <text>
        <r>
          <rPr>
            <sz val="9"/>
            <color indexed="81"/>
            <rFont val="宋体"/>
            <charset val="134"/>
          </rPr>
          <t>SIGAP1:
La ley de Creación del Parque manda coordinar  estrechamente al Ministerio de Cultura y deportes y el CONAP</t>
        </r>
      </text>
    </comment>
    <comment ref="Q11" authorId="0" shapeId="0" xr:uid="{00000000-0006-0000-1800-000009000000}">
      <text>
        <r>
          <rPr>
            <sz val="9"/>
            <color indexed="81"/>
            <rFont val="宋体"/>
            <charset val="134"/>
          </rPr>
          <t>SIGAP1:
Debe se Apoyo en la Administración conjunta aunque CONAP es el directo, el decreto dice que la administración estrechamente coordinada con DGPCN del MICUDE</t>
        </r>
      </text>
    </comment>
    <comment ref="R19" authorId="1" shapeId="0" xr:uid="{00000000-0006-0000-1800-00000A000000}">
      <text>
        <r>
          <rPr>
            <sz val="9"/>
            <color indexed="81"/>
            <rFont val="宋体"/>
            <charset val="134"/>
          </rPr>
          <t>Deyssi Jeannette Rodriguez Martinez:
Actualizado con Jacky en septiembre</t>
        </r>
      </text>
    </comment>
    <comment ref="W26" authorId="0" shapeId="0" xr:uid="{00000000-0006-0000-1800-00000B000000}">
      <text>
        <r>
          <rPr>
            <sz val="9"/>
            <color indexed="81"/>
            <rFont val="宋体"/>
            <charset val="134"/>
          </rPr>
          <t>SIGAP1:
FONACON, INAB entregará  consideraciones excepcionales</t>
        </r>
      </text>
    </comment>
    <comment ref="Q28" authorId="0" shapeId="0" xr:uid="{00000000-0006-0000-1800-00000C000000}">
      <text>
        <r>
          <rPr>
            <sz val="9"/>
            <color indexed="81"/>
            <rFont val="宋体"/>
            <charset val="134"/>
          </rPr>
          <t>SIGAP1:
fdn PUEDE PROPONER CONVENIO DE APOYO EN ADM CONJUNTA</t>
        </r>
      </text>
    </comment>
    <comment ref="K30" authorId="0" shapeId="0" xr:uid="{00000000-0006-0000-1800-00000D000000}">
      <text>
        <r>
          <rPr>
            <sz val="9"/>
            <color indexed="81"/>
            <rFont val="宋体"/>
            <charset val="134"/>
          </rPr>
          <t>SIGAP1:
Se modifica hectareaje según Resolución  03-35-2016</t>
        </r>
      </text>
    </comment>
    <comment ref="K31" authorId="2" shapeId="0" xr:uid="{00000000-0006-0000-1800-00000E000000}">
      <text>
        <r>
          <rPr>
            <sz val="9"/>
            <color indexed="81"/>
            <rFont val="宋体"/>
            <charset val="134"/>
          </rPr>
          <t>Samy Rubyl Palacios Villatoro:
Se modifica a éste hectareaje según Resolución 06-16-2016 del Consejo de CONAP, publicado en Diario Oficial en fecha 26/08/2016</t>
        </r>
      </text>
    </comment>
    <comment ref="AD34" authorId="0" shapeId="0" xr:uid="{00000000-0006-0000-1800-00000F000000}">
      <text>
        <r>
          <rPr>
            <sz val="9"/>
            <color indexed="81"/>
            <rFont val="宋体"/>
            <charset val="134"/>
          </rPr>
          <t>SIGAP1:
Dentro del Proyecto GEF Volcanes de trabajará la elaboración de su ET para categorizarlo definitivamente</t>
        </r>
      </text>
    </comment>
    <comment ref="AD35" authorId="0" shapeId="0" xr:uid="{00000000-0006-0000-1800-000010000000}">
      <text>
        <r>
          <rPr>
            <sz val="9"/>
            <color indexed="81"/>
            <rFont val="宋体"/>
            <charset val="134"/>
          </rPr>
          <t>SIGAP1:
Dentro del Proyecto GEF Volcanes de trabajará la elaboración de su ET para categorizarlo definitivamente</t>
        </r>
      </text>
    </comment>
    <comment ref="Q40" authorId="0" shapeId="0" xr:uid="{00000000-0006-0000-1800-000011000000}">
      <text>
        <r>
          <rPr>
            <sz val="9"/>
            <color indexed="81"/>
            <rFont val="宋体"/>
            <charset val="134"/>
          </rPr>
          <t>SIGAP1:
Deben hacer propuesta de nuevo Convenio con vigencia de 10 años. Se debe considerar compromisos de convenio y EVASIGAP para renovar dicho convenio</t>
        </r>
      </text>
    </comment>
    <comment ref="W40" authorId="0" shapeId="0" xr:uid="{00000000-0006-0000-1800-000012000000}">
      <text>
        <r>
          <rPr>
            <sz val="9"/>
            <color indexed="81"/>
            <rFont val="宋体"/>
            <charset val="134"/>
          </rPr>
          <t>SIGAP1:
Se había hecho ET pero le faltaba divulgarlo ante los pobladores. Con el proyecto GEF de turismo se logró financiamiento para el efecto. Consultar con Luci Pérez</t>
        </r>
      </text>
    </comment>
    <comment ref="W41" authorId="0" shapeId="0" xr:uid="{00000000-0006-0000-1800-000013000000}">
      <text>
        <r>
          <rPr>
            <sz val="9"/>
            <color indexed="81"/>
            <rFont val="宋体"/>
            <charset val="134"/>
          </rPr>
          <t>SIGAP1:
FONACON CALMECAC</t>
        </r>
      </text>
    </comment>
    <comment ref="AD44" authorId="0" shapeId="0" xr:uid="{00000000-0006-0000-1800-000014000000}">
      <text>
        <r>
          <rPr>
            <sz val="9"/>
            <color indexed="81"/>
            <rFont val="宋体"/>
            <charset val="134"/>
          </rPr>
          <t>SIGAP1:
Dentro del Proyecto GEF Volcanes de trabajará la elaboración de su ET para categorizarlo definitivamente</t>
        </r>
      </text>
    </comment>
    <comment ref="Q51" authorId="2" shapeId="0" xr:uid="{00000000-0006-0000-1800-000015000000}">
      <text>
        <r>
          <rPr>
            <sz val="9"/>
            <color indexed="81"/>
            <rFont val="宋体"/>
            <charset val="134"/>
          </rPr>
          <t>Samy Rubyl Palacios Villatoro:
Caducó el 20/8/2013</t>
        </r>
      </text>
    </comment>
    <comment ref="C52" authorId="0" shapeId="0" xr:uid="{00000000-0006-0000-1800-000016000000}">
      <text>
        <r>
          <rPr>
            <sz val="9"/>
            <color indexed="81"/>
            <rFont val="宋体"/>
            <charset val="134"/>
          </rPr>
          <t>SIGAP1:
Éste código debió desaparecer junto con el Área Volcán Quetzaktepeque y no asignarlo a ZVD Pacaya</t>
        </r>
      </text>
    </comment>
    <comment ref="W57" authorId="0" shapeId="0" xr:uid="{00000000-0006-0000-1800-000017000000}">
      <text>
        <r>
          <rPr>
            <sz val="9"/>
            <color indexed="81"/>
            <rFont val="宋体"/>
            <charset val="134"/>
          </rPr>
          <t>SIGAP1:
Helvetas concluyo apoyo económico y el proceso quedó pendiente. Se retomará nuevamente la elaboración de ET actualizando la información con el hectareaje nuevo</t>
        </r>
      </text>
    </comment>
    <comment ref="W60" authorId="0" shapeId="0" xr:uid="{00000000-0006-0000-1800-000018000000}">
      <text>
        <r>
          <rPr>
            <sz val="9"/>
            <color indexed="81"/>
            <rFont val="宋体"/>
            <charset val="134"/>
          </rPr>
          <t>SIGAP1:
FONACON CALMECAC</t>
        </r>
      </text>
    </comment>
    <comment ref="K63" authorId="0" shapeId="0" xr:uid="{00000000-0006-0000-1800-000019000000}">
      <text>
        <r>
          <rPr>
            <sz val="9"/>
            <color indexed="81"/>
            <rFont val="宋体"/>
            <charset val="134"/>
          </rPr>
          <t>SIGAP1:
Se modifica hectareaje según resolución HCONAP01-35-2016</t>
        </r>
      </text>
    </comment>
    <comment ref="E64" authorId="2" shapeId="0" xr:uid="{00000000-0006-0000-1800-00001A000000}">
      <text>
        <r>
          <rPr>
            <sz val="9"/>
            <color indexed="81"/>
            <rFont val="宋体"/>
            <charset val="134"/>
          </rPr>
          <t>Samy Rubyl Palacios Villatoro:
El Acuerdo nunca fue publicado en el Diario Oficial. Pero se emplea el artículo 89 de la Ley de áreas protegidas  para considerarla como AP</t>
        </r>
      </text>
    </comment>
    <comment ref="W64" authorId="0" shapeId="0" xr:uid="{00000000-0006-0000-1800-00001B000000}">
      <text>
        <r>
          <rPr>
            <sz val="9"/>
            <color indexed="81"/>
            <rFont val="宋体"/>
            <charset val="134"/>
          </rPr>
          <t>SIGAP1:
Proyecto GEF Marino Costero</t>
        </r>
      </text>
    </comment>
    <comment ref="L65" authorId="3" shapeId="0" xr:uid="{00000000-0006-0000-1800-00001C000000}">
      <text>
        <r>
          <rPr>
            <sz val="9"/>
            <color indexed="81"/>
            <rFont val="宋体"/>
            <charset val="134"/>
          </rPr>
          <t>Luis Pedro Utrera Granados:
Revisar si no es el 30/08/1961</t>
        </r>
      </text>
    </comment>
    <comment ref="D67" authorId="0" shapeId="0" xr:uid="{00000000-0006-0000-1800-00001D000000}">
      <text>
        <r>
          <rPr>
            <sz val="9"/>
            <color indexed="81"/>
            <rFont val="宋体"/>
            <charset val="134"/>
          </rPr>
          <t>SIGAP1:
Según oficio UAJ-543/2017OAGR-ejmcm de fecha 31/1072017</t>
        </r>
      </text>
    </comment>
    <comment ref="E67" authorId="0" shapeId="0" xr:uid="{00000000-0006-0000-1800-00001E000000}">
      <text>
        <r>
          <rPr>
            <sz val="9"/>
            <color indexed="81"/>
            <rFont val="宋体"/>
            <charset val="134"/>
          </rPr>
          <t>SIGAP1:
Pendiente de definirse por el E.T.</t>
        </r>
      </text>
    </comment>
    <comment ref="W67" authorId="0" shapeId="0" xr:uid="{00000000-0006-0000-1800-00001F000000}">
      <text>
        <r>
          <rPr>
            <sz val="9"/>
            <color indexed="81"/>
            <rFont val="宋体"/>
            <charset val="134"/>
          </rPr>
          <t>SIGAP1:
Proyecto GEF Marino Costero</t>
        </r>
      </text>
    </comment>
    <comment ref="K69" authorId="2" shapeId="0" xr:uid="{00000000-0006-0000-1800-000020000000}">
      <text>
        <r>
          <rPr>
            <sz val="9"/>
            <color indexed="81"/>
            <rFont val="宋体"/>
            <charset val="134"/>
          </rPr>
          <t>Samy Rubyl Palacios Villatoro:
Se modifica a este hectareaje según Resolución 04-16-2016 del Consejo Nacional de CONAP de fecha 7/junio /2016 publicado en Diario Oficial en fecha 26/08/2016</t>
        </r>
      </text>
    </comment>
    <comment ref="Q70" authorId="2" shapeId="0" xr:uid="{00000000-0006-0000-1800-000021000000}">
      <text>
        <r>
          <rPr>
            <sz val="9"/>
            <color indexed="81"/>
            <rFont val="宋体"/>
            <charset val="134"/>
          </rPr>
          <t>Samy Rubyl Palacios Villatoro:
Ya Caducó el 30/11/2015 El CONAP debe elaborar Concurso público</t>
        </r>
      </text>
    </comment>
    <comment ref="Q72" authorId="0" shapeId="0" xr:uid="{00000000-0006-0000-1800-000022000000}">
      <text>
        <r>
          <rPr>
            <sz val="9"/>
            <color indexed="81"/>
            <rFont val="宋体"/>
            <charset val="134"/>
          </rPr>
          <t>SIGAP1:
FDN puede proponer convenio de apoyo en administración conjunta</t>
        </r>
      </text>
    </comment>
    <comment ref="Q73" authorId="0" shapeId="0" xr:uid="{00000000-0006-0000-1800-000023000000}">
      <text>
        <r>
          <rPr>
            <sz val="9"/>
            <color indexed="81"/>
            <rFont val="宋体"/>
            <charset val="134"/>
          </rPr>
          <t>SIGAP1:
Dependiendo de la Resolución donde HCONAP otorga la administracipon del Área a FDN, ésta ONG hara una solicitud a conap y se elaborará convenio de coadministración.</t>
        </r>
      </text>
    </comment>
    <comment ref="W73" authorId="0" shapeId="0" xr:uid="{00000000-0006-0000-1800-000024000000}">
      <text>
        <r>
          <rPr>
            <sz val="9"/>
            <color indexed="81"/>
            <rFont val="宋体"/>
            <charset val="134"/>
          </rPr>
          <t>SIGAP1:
Tomo Verde/ Centro de documentación</t>
        </r>
      </text>
    </comment>
    <comment ref="Q74" authorId="0" shapeId="0" xr:uid="{00000000-0006-0000-1800-000025000000}">
      <text>
        <r>
          <rPr>
            <sz val="9"/>
            <color indexed="81"/>
            <rFont val="宋体"/>
            <charset val="134"/>
          </rPr>
          <t>SIGAP1:
La Secretaría ejecutiva de Cerro san gil  se adjudicará por licitación</t>
        </r>
      </text>
    </comment>
    <comment ref="Q75" authorId="0" shapeId="0" xr:uid="{00000000-0006-0000-1800-000026000000}">
      <text>
        <r>
          <rPr>
            <sz val="9"/>
            <color indexed="81"/>
            <rFont val="宋体"/>
            <charset val="134"/>
          </rPr>
          <t>SIGAP1:
Debe regularizarse. Un nuevo convenio pero de Apoyo en la administración conjunta</t>
        </r>
      </text>
    </comment>
    <comment ref="R75" authorId="4" shapeId="0" xr:uid="{00000000-0006-0000-1800-000027000000}">
      <text>
        <r>
          <rPr>
            <sz val="9"/>
            <color indexed="81"/>
            <rFont val="宋体"/>
            <charset val="134"/>
          </rPr>
          <t>ADiaz:
Plan maestro impreso, no es el plan maestro aprobado. Modificaciones según Resolución de HC 1-12-2005</t>
        </r>
      </text>
    </comment>
    <comment ref="Q78" authorId="0" shapeId="0" xr:uid="{00000000-0006-0000-1800-000028000000}">
      <text>
        <r>
          <rPr>
            <sz val="9"/>
            <color indexed="81"/>
            <rFont val="宋体"/>
            <charset val="134"/>
          </rPr>
          <t>SIGAP1:
Deben hacer propuesta de nuevo Convenio con vigencia de 10 años. Se debe considerar compromisos de convenio y EVASIGAP para renovar dicho convenio</t>
        </r>
      </text>
    </comment>
    <comment ref="Y78" authorId="5" shapeId="0" xr:uid="{00000000-0006-0000-1800-000029000000}">
      <text>
        <r>
          <rPr>
            <sz val="9"/>
            <color indexed="81"/>
            <rFont val="宋体"/>
            <charset val="134"/>
          </rPr>
          <t>LUtrera:
Revisar la Resolución CONAP 47-98</t>
        </r>
      </text>
    </comment>
    <comment ref="Q80" authorId="0" shapeId="0" xr:uid="{00000000-0006-0000-1800-00002A000000}">
      <text>
        <r>
          <rPr>
            <sz val="9"/>
            <color indexed="81"/>
            <rFont val="宋体"/>
            <charset val="134"/>
          </rPr>
          <t>SIGAP1:
El convenio firmado no es valido porque se hizo antes de que saliera el decreto de creación del área</t>
        </r>
      </text>
    </comment>
    <comment ref="W80" authorId="0" shapeId="0" xr:uid="{00000000-0006-0000-1800-00002B000000}">
      <text>
        <r>
          <rPr>
            <sz val="9"/>
            <color indexed="81"/>
            <rFont val="宋体"/>
            <charset val="134"/>
          </rPr>
          <t>SIGAP1:
Tomo Verde /página 1 Centro de Documentación</t>
        </r>
      </text>
    </comment>
    <comment ref="Q81" authorId="0" shapeId="0" xr:uid="{00000000-0006-0000-1800-00002C000000}">
      <text>
        <r>
          <rPr>
            <sz val="9"/>
            <color indexed="81"/>
            <rFont val="宋体"/>
            <charset val="134"/>
          </rPr>
          <t>SIGAP1:
debe haber proceso de Licitación</t>
        </r>
      </text>
    </comment>
    <comment ref="J82" authorId="0" shapeId="0" xr:uid="{00000000-0006-0000-1800-00002D000000}">
      <text>
        <r>
          <rPr>
            <sz val="9"/>
            <color indexed="81"/>
            <rFont val="宋体"/>
            <charset val="134"/>
          </rPr>
          <t>SIGAP1:
Se suman 123.55 ha de la zona de amortiguamiento medida por el RIC. Resolución 05/03/2014</t>
        </r>
      </text>
    </comment>
    <comment ref="Q82" authorId="0" shapeId="0" xr:uid="{00000000-0006-0000-1800-00002E000000}">
      <text>
        <r>
          <rPr>
            <sz val="9"/>
            <color indexed="81"/>
            <rFont val="宋体"/>
            <charset val="134"/>
          </rPr>
          <t>SIGAP1:
No tiene ningún convenio</t>
        </r>
      </text>
    </comment>
    <comment ref="Q83" authorId="0" shapeId="0" xr:uid="{00000000-0006-0000-1800-00002F000000}">
      <text>
        <r>
          <rPr>
            <sz val="9"/>
            <color indexed="81"/>
            <rFont val="宋体"/>
            <charset val="134"/>
          </rPr>
          <t>SIGAP1:
No existe ningún convenio al momento</t>
        </r>
      </text>
    </comment>
    <comment ref="W83" authorId="0" shapeId="0" xr:uid="{00000000-0006-0000-1800-000030000000}">
      <text>
        <r>
          <rPr>
            <sz val="9"/>
            <color indexed="81"/>
            <rFont val="宋体"/>
            <charset val="134"/>
          </rPr>
          <t>SIGAP1:
Tomo Verde/ Centro de Documentación</t>
        </r>
      </text>
    </comment>
    <comment ref="Q84" authorId="0" shapeId="0" xr:uid="{00000000-0006-0000-1800-000031000000}">
      <text>
        <r>
          <rPr>
            <sz val="9"/>
            <color indexed="81"/>
            <rFont val="宋体"/>
            <charset val="134"/>
          </rPr>
          <t>SIGAP1:
El convenio fue firmado antes del decreto por lo que no es válido</t>
        </r>
      </text>
    </comment>
    <comment ref="W84" authorId="0" shapeId="0" xr:uid="{00000000-0006-0000-1800-000032000000}">
      <text>
        <r>
          <rPr>
            <sz val="9"/>
            <color indexed="81"/>
            <rFont val="宋体"/>
            <charset val="134"/>
          </rPr>
          <t>SIGAP1:
Proyecto GEF Marino Costero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SIGAP1</author>
    <author>Samy Rubyl Palacios Villatoro</author>
    <author>Luis Pedro Utrera Granados</author>
    <author>Deyssi Jeannette Rodriguez Martinez</author>
  </authors>
  <commentList>
    <comment ref="B13" authorId="0" shapeId="0" xr:uid="{00000000-0006-0000-0100-000001000000}">
      <text>
        <r>
          <rPr>
            <sz val="9"/>
            <color indexed="81"/>
            <rFont val="宋体"/>
            <charset val="134"/>
          </rPr>
          <t>SIGAP1:
El código SIGAP -054 lo tiene la ZVD V de Pacaya y no debía ser así.</t>
        </r>
      </text>
    </comment>
    <comment ref="C19" authorId="1" shapeId="0" xr:uid="{00000000-0006-0000-0100-000002000000}">
      <text>
        <r>
          <rPr>
            <sz val="9"/>
            <color indexed="81"/>
            <rFont val="宋体"/>
            <charset val="134"/>
          </rPr>
          <t>Samy Rubyl Palacios Villatoro:
Una parte del Área fue desinscrita, por ello continuará con el mismo código en el SIGAP</t>
        </r>
      </text>
    </comment>
    <comment ref="I20" authorId="2" shapeId="0" xr:uid="{00000000-0006-0000-0100-000003000000}">
      <text>
        <r>
          <rPr>
            <sz val="9"/>
            <color indexed="81"/>
            <rFont val="宋体"/>
            <charset val="134"/>
          </rPr>
          <t>Resolución 277/2010 607.9 ha
Resolución 237/2012 629.4187 ha</t>
        </r>
      </text>
    </comment>
    <comment ref="T20" authorId="3" shapeId="0" xr:uid="{00000000-0006-0000-0100-000004000000}">
      <text>
        <r>
          <rPr>
            <sz val="9"/>
            <color indexed="81"/>
            <rFont val="宋体"/>
            <charset val="134"/>
          </rPr>
          <t>Deyssi Jeannette Rodriguez Martinez:
Oct.</t>
        </r>
      </text>
    </comment>
    <comment ref="I21" authorId="0" shapeId="0" xr:uid="{00000000-0006-0000-0100-000005000000}">
      <text>
        <r>
          <rPr>
            <sz val="9"/>
            <color indexed="81"/>
            <rFont val="宋体"/>
            <charset val="134"/>
          </rPr>
          <t>SIGAP1:
Se desinscribe según Resolución 258/2017 de fecha 26 de julio de 2017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Deyssi Jeannette Rodriguez Martinez</author>
  </authors>
  <commentList>
    <comment ref="D7" authorId="0" shapeId="0" xr:uid="{00000000-0006-0000-0200-000001000000}">
      <text>
        <r>
          <rPr>
            <sz val="9"/>
            <color indexed="81"/>
            <rFont val="宋体"/>
            <charset val="134"/>
          </rPr>
          <t>Deyssi Jeannette Rodriguez Martinez:
Hasta aca datos recibidos por Gaby Díaz.</t>
        </r>
      </text>
    </comment>
    <comment ref="C8" authorId="0" shapeId="0" xr:uid="{00000000-0006-0000-0200-000002000000}">
      <text>
        <r>
          <rPr>
            <sz val="9"/>
            <color indexed="81"/>
            <rFont val="宋体"/>
            <charset val="134"/>
          </rPr>
          <t>Deyssi Jeannette Rodriguez Martinez:
Actualización septiembre 2015.</t>
        </r>
      </text>
    </comment>
    <comment ref="C9" authorId="0" shapeId="0" xr:uid="{00000000-0006-0000-0200-000003000000}">
      <text>
        <r>
          <rPr>
            <sz val="9"/>
            <color indexed="81"/>
            <rFont val="宋体"/>
            <charset val="134"/>
          </rPr>
          <t>Deyssi Jeannette Rodriguez Martinez:
Actualización Octubre 2015</t>
        </r>
      </text>
    </comment>
    <comment ref="E45" authorId="0" shapeId="0" xr:uid="{00000000-0006-0000-0200-000004000000}">
      <text>
        <r>
          <rPr>
            <sz val="9"/>
            <color indexed="81"/>
            <rFont val="宋体"/>
            <charset val="134"/>
          </rPr>
          <t>Deyssi Jeannette Rodriguez Martinez:
Según este registro el total de hectareas en la RNP Milán y Anexos 821.41</t>
        </r>
      </text>
    </comment>
    <comment ref="A46" authorId="0" shapeId="0" xr:uid="{00000000-0006-0000-0200-000005000000}">
      <text>
        <r>
          <rPr>
            <sz val="9"/>
            <color indexed="81"/>
            <rFont val="宋体"/>
            <charset val="134"/>
          </rPr>
          <t>Deyssi Jeannette Rodriguez Martinez:
Actualización a septiembre 2015</t>
        </r>
      </text>
    </comment>
    <comment ref="E46" authorId="0" shapeId="0" xr:uid="{00000000-0006-0000-0200-000006000000}">
      <text>
        <r>
          <rPr>
            <sz val="9"/>
            <color indexed="81"/>
            <rFont val="宋体"/>
            <charset val="134"/>
          </rPr>
          <t>Deyssi Jeannette Rodriguez Martinez:
Total hectreas registradas en la RNP Milán y Anexos 841.41</t>
        </r>
      </text>
    </comment>
    <comment ref="A47" authorId="0" shapeId="0" xr:uid="{00000000-0006-0000-0200-000007000000}">
      <text>
        <r>
          <rPr>
            <sz val="9"/>
            <color indexed="81"/>
            <rFont val="宋体"/>
            <charset val="134"/>
          </rPr>
          <t>Deyssi Jeannette Rodriguez Martinez:
Actualización a octubre 2015</t>
        </r>
      </text>
    </comment>
    <comment ref="E47" authorId="0" shapeId="0" xr:uid="{00000000-0006-0000-0200-000008000000}">
      <text>
        <r>
          <rPr>
            <sz val="9"/>
            <color indexed="81"/>
            <rFont val="宋体"/>
            <charset val="134"/>
          </rPr>
          <t>Deyssi Jeannette Rodriguez Martinez:
Incluida dentro de la RUMCLA. En la zona Cultural y Altamente Poblada.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Deyssi Jeannette Rodriguez Martinez</author>
    <author>Samy Rubyl Palacios Villatoro</author>
    <author>Luis Pedro Utrera Granados</author>
  </authors>
  <commentList>
    <comment ref="S2" authorId="0" shapeId="0" xr:uid="{00000000-0006-0000-0300-000001000000}">
      <text>
        <r>
          <rPr>
            <sz val="9"/>
            <color indexed="81"/>
            <rFont val="宋体"/>
            <charset val="134"/>
          </rPr>
          <t>Deyssi Jeannette Rodriguez Martinez:
Oct.</t>
        </r>
      </text>
    </comment>
    <comment ref="S3" authorId="0" shapeId="0" xr:uid="{00000000-0006-0000-0300-000002000000}">
      <text>
        <r>
          <rPr>
            <sz val="9"/>
            <color indexed="81"/>
            <rFont val="宋体"/>
            <charset val="134"/>
          </rPr>
          <t>Deyssi Jeannette Rodriguez Martinez:
Oct.</t>
        </r>
      </text>
    </comment>
    <comment ref="S7" authorId="0" shapeId="0" xr:uid="{00000000-0006-0000-0300-000003000000}">
      <text>
        <r>
          <rPr>
            <sz val="9"/>
            <color indexed="81"/>
            <rFont val="宋体"/>
            <charset val="134"/>
          </rPr>
          <t>Deyssi Jeannette Rodriguez Martinez:
Al 30 de Oct.</t>
        </r>
      </text>
    </comment>
    <comment ref="S9" authorId="0" shapeId="0" xr:uid="{00000000-0006-0000-0300-000004000000}">
      <text>
        <r>
          <rPr>
            <sz val="9"/>
            <color indexed="81"/>
            <rFont val="宋体"/>
            <charset val="134"/>
          </rPr>
          <t>Deyssi Jeannette Rodriguez Martinez:
Oct.</t>
        </r>
      </text>
    </comment>
    <comment ref="S10" authorId="0" shapeId="0" xr:uid="{00000000-0006-0000-0300-000005000000}">
      <text>
        <r>
          <rPr>
            <sz val="9"/>
            <color indexed="81"/>
            <rFont val="宋体"/>
            <charset val="134"/>
          </rPr>
          <t>Deyssi Jeannette Rodriguez Martinez:
Oct.</t>
        </r>
      </text>
    </comment>
    <comment ref="S21" authorId="0" shapeId="0" xr:uid="{00000000-0006-0000-0300-000006000000}">
      <text>
        <r>
          <rPr>
            <sz val="9"/>
            <color indexed="81"/>
            <rFont val="宋体"/>
            <charset val="134"/>
          </rPr>
          <t>Deyssi Jeannette Rodriguez Martinez:
Al 30 de Oct.</t>
        </r>
      </text>
    </comment>
    <comment ref="Q43" authorId="1" shapeId="0" xr:uid="{00000000-0006-0000-0300-000007000000}">
      <text>
        <r>
          <rPr>
            <sz val="9"/>
            <color indexed="81"/>
            <rFont val="宋体"/>
            <charset val="134"/>
          </rPr>
          <t>Samy Rubyl Palacios Villatoro:
Ya caducó</t>
        </r>
      </text>
    </comment>
    <comment ref="S43" authorId="0" shapeId="0" xr:uid="{00000000-0006-0000-0300-000008000000}">
      <text>
        <r>
          <rPr>
            <sz val="9"/>
            <color indexed="81"/>
            <rFont val="宋体"/>
            <charset val="134"/>
          </rPr>
          <t>Deyssi Jeannette Rodriguez Martinez:
Al 30 de Oct.</t>
        </r>
      </text>
    </comment>
    <comment ref="S45" authorId="0" shapeId="0" xr:uid="{00000000-0006-0000-0300-000009000000}">
      <text>
        <r>
          <rPr>
            <sz val="9"/>
            <color indexed="81"/>
            <rFont val="宋体"/>
            <charset val="134"/>
          </rPr>
          <t>Deyssi Jeannette Rodriguez Martinez:
Oct.</t>
        </r>
      </text>
    </comment>
    <comment ref="L46" authorId="2" shapeId="0" xr:uid="{00000000-0006-0000-0300-00000A000000}">
      <text>
        <r>
          <rPr>
            <sz val="9"/>
            <color indexed="81"/>
            <rFont val="宋体"/>
            <charset val="134"/>
          </rPr>
          <t>Luis Pedro Utrera Granados:
Revisar si no es el 30/08/1961</t>
        </r>
      </text>
    </comment>
    <comment ref="S47" authorId="0" shapeId="0" xr:uid="{00000000-0006-0000-0300-00000B000000}">
      <text>
        <r>
          <rPr>
            <sz val="9"/>
            <color indexed="81"/>
            <rFont val="宋体"/>
            <charset val="134"/>
          </rPr>
          <t>Deyssi Jeannette Rodriguez Martinez:
Oct.</t>
        </r>
      </text>
    </comment>
    <comment ref="S48" authorId="0" shapeId="0" xr:uid="{00000000-0006-0000-0300-00000C000000}">
      <text>
        <r>
          <rPr>
            <sz val="9"/>
            <color indexed="81"/>
            <rFont val="宋体"/>
            <charset val="134"/>
          </rPr>
          <t>Deyssi Jeannette Rodriguez Martinez:
Oct.</t>
        </r>
      </text>
    </comment>
    <comment ref="Q51" authorId="1" shapeId="0" xr:uid="{00000000-0006-0000-0300-00000D000000}">
      <text>
        <r>
          <rPr>
            <sz val="9"/>
            <color indexed="81"/>
            <rFont val="宋体"/>
            <charset val="134"/>
          </rPr>
          <t>Samy Rubyl Palacios Villatoro:
Ya Caducó</t>
        </r>
      </text>
    </comment>
    <comment ref="S51" authorId="0" shapeId="0" xr:uid="{00000000-0006-0000-0300-00000E000000}">
      <text>
        <r>
          <rPr>
            <sz val="9"/>
            <color indexed="81"/>
            <rFont val="宋体"/>
            <charset val="134"/>
          </rPr>
          <t>Deyssi Jeannette Rodriguez Martinez:
Al 30 de Oct.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SIGAP1</author>
  </authors>
  <commentList>
    <comment ref="AF8" authorId="0" shapeId="0" xr:uid="{00000000-0006-0000-0400-000001000000}">
      <text>
        <r>
          <rPr>
            <sz val="9"/>
            <color indexed="81"/>
            <rFont val="宋体"/>
            <charset val="134"/>
          </rPr>
          <t>SIGAP1:
Se desinscriben 2000 ha de Finca Rústica Chimel el 26/07/2017 R. 258/2017</t>
        </r>
      </text>
    </comment>
    <comment ref="C51" authorId="0" shapeId="0" xr:uid="{00000000-0006-0000-0400-000002000000}">
      <text>
        <r>
          <rPr>
            <sz val="9"/>
            <color indexed="81"/>
            <rFont val="宋体"/>
            <charset val="134"/>
          </rPr>
          <t>SIGAP1:
Se suman0.21 ha de PN Runinas de Iximché</t>
        </r>
      </text>
    </comment>
    <comment ref="C52" authorId="0" shapeId="0" xr:uid="{00000000-0006-0000-0400-000003000000}">
      <text>
        <r>
          <rPr>
            <sz val="9"/>
            <color indexed="81"/>
            <rFont val="宋体"/>
            <charset val="134"/>
          </rPr>
          <t>SIGAP1:
Se restan 239.52 ha del PN Riscos de Momostenango</t>
        </r>
      </text>
    </comment>
    <comment ref="B81" authorId="0" shapeId="0" xr:uid="{00000000-0006-0000-0400-000004000000}">
      <text>
        <r>
          <rPr>
            <sz val="9"/>
            <color indexed="81"/>
            <rFont val="宋体"/>
            <charset val="134"/>
          </rPr>
          <t xml:space="preserve">SIGAP1:
</t>
        </r>
      </text>
    </comment>
    <comment ref="C81" authorId="0" shapeId="0" xr:uid="{00000000-0006-0000-0400-000005000000}">
      <text>
        <r>
          <rPr>
            <sz val="9"/>
            <color indexed="81"/>
            <rFont val="宋体"/>
            <charset val="134"/>
          </rPr>
          <t>SIGAP1:
Se ingresa Rey Tepepul, perono suma por estar dentro de la RUMCLA, ingresa joya grande pero seo incrementa el 16.54% del total del poligono esta en ZVD Fuego y Acatenango</t>
        </r>
      </text>
    </comment>
    <comment ref="C83" authorId="0" shapeId="0" xr:uid="{00000000-0006-0000-0400-000006000000}">
      <text>
        <r>
          <rPr>
            <sz val="9"/>
            <color indexed="81"/>
            <rFont val="宋体"/>
            <charset val="134"/>
          </rPr>
          <t>SIGAP1:
Se ingresa PRM Twi A´lj Witz</t>
        </r>
      </text>
    </comment>
    <comment ref="C222" authorId="0" shapeId="0" xr:uid="{00000000-0006-0000-0400-000007000000}">
      <text>
        <r>
          <rPr>
            <sz val="9"/>
            <color indexed="81"/>
            <rFont val="宋体"/>
            <charset val="134"/>
          </rPr>
          <t>SIGAP1:
Se desinscribe Villa Rosita, de Esquipulas Palo Gordo.</t>
        </r>
      </text>
    </comment>
    <comment ref="C223" authorId="0" shapeId="0" xr:uid="{00000000-0006-0000-0400-000008000000}">
      <text>
        <r>
          <rPr>
            <sz val="9"/>
            <color indexed="81"/>
            <rFont val="宋体"/>
            <charset val="134"/>
          </rPr>
          <t>SIGAP1:
Se desinscribe la Finca Rústica Chimel de 2000 Ha</t>
        </r>
      </text>
    </comment>
    <comment ref="C224" authorId="0" shapeId="0" xr:uid="{00000000-0006-0000-0400-000009000000}">
      <text>
        <r>
          <rPr>
            <sz val="9"/>
            <color indexed="81"/>
            <rFont val="宋体"/>
            <charset val="134"/>
          </rPr>
          <t>SIGAP1:
RNP Reserva Ecológica del mangle. Se suma al número de AP, pero no se suman sus hectareas porque se encuentra dentro del RVS Punta de Manabique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SIGAP1</author>
  </authors>
  <commentList>
    <comment ref="C28" authorId="0" shapeId="0" xr:uid="{00000000-0006-0000-0600-000001000000}">
      <text>
        <r>
          <rPr>
            <sz val="9"/>
            <color indexed="81"/>
            <rFont val="宋体"/>
            <charset val="134"/>
          </rPr>
          <t>SIGAP1:
Verificar si ésta cantidad se encuentra dentro o fuera del valor total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SIGAP1</author>
  </authors>
  <commentList>
    <comment ref="C16" authorId="0" shapeId="0" xr:uid="{00000000-0006-0000-0800-000001000000}">
      <text>
        <r>
          <rPr>
            <sz val="9"/>
            <color indexed="81"/>
            <rFont val="宋体"/>
            <charset val="134"/>
          </rPr>
          <t>SIGAP1:
- 2000 de RNP Finca Rústica Chimel que se desinscribe en Agosto de 2017</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SIGAP1</author>
    <author>Samy Rubyl Palacios Villatoro</author>
  </authors>
  <commentList>
    <comment ref="K17" authorId="0" shapeId="0" xr:uid="{00000000-0006-0000-0C00-000001000000}">
      <text>
        <r>
          <rPr>
            <sz val="9"/>
            <color indexed="81"/>
            <rFont val="宋体"/>
            <charset val="134"/>
          </rPr>
          <t>SIGAP1: Sergio Vasquez
Mediante oficios SE 0879/2018/EMFR-cbcb y SE 0880/2018/EMFR-cbcb se notifica a ASAECO y Municipalidad de San Martín 
Sacatepéquez, de que queda sin efecto el convenio de Coadministración</t>
        </r>
      </text>
    </comment>
    <comment ref="K24" authorId="1" shapeId="0" xr:uid="{00000000-0006-0000-0C00-000002000000}">
      <text>
        <r>
          <rPr>
            <sz val="9"/>
            <color indexed="81"/>
            <rFont val="宋体"/>
            <charset val="134"/>
          </rPr>
          <t>Samy Rubyl Palacios Villatoro:
Existe resolución de Consejo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Samy Rubyl Palacios Villatoro</author>
    <author>ADiaz</author>
    <author>Deyssi Jeannette Rodriguez Martinez</author>
    <author>SIGAP1</author>
  </authors>
  <commentList>
    <comment ref="E24" authorId="0" shapeId="0" xr:uid="{00000000-0006-0000-1700-000001000000}">
      <text>
        <r>
          <rPr>
            <sz val="9"/>
            <color indexed="81"/>
            <rFont val="宋体"/>
            <charset val="134"/>
          </rPr>
          <t>Samy Rubyl Palacios Villatoro:
El Acuerdo nunca fue publicado en el Diario Oficial</t>
        </r>
      </text>
    </comment>
    <comment ref="K30" authorId="1" shapeId="0" xr:uid="{00000000-0006-0000-1700-000002000000}">
      <text>
        <r>
          <rPr>
            <sz val="9"/>
            <color indexed="81"/>
            <rFont val="宋体"/>
            <charset val="134"/>
          </rPr>
          <t>ADiaz:
Plan maestro impreso, no es el plan maestro aprobado. Modificaciones según Resolución de HC 1-12-2005</t>
        </r>
      </text>
    </comment>
    <comment ref="J75" authorId="2" shapeId="0" xr:uid="{00000000-0006-0000-1700-000003000000}">
      <text>
        <r>
          <rPr>
            <sz val="9"/>
            <color indexed="81"/>
            <rFont val="宋体"/>
            <charset val="134"/>
          </rPr>
          <t xml:space="preserve">Deyssi Jeannette Rodriguez Martinez:
Este es el valor neto que aumenta al SIGAP debido a que el resto del área de la RNP Setal se encuentra dentro de la zona de recuperación del área de RVS Bocas del Polochic. </t>
        </r>
      </text>
    </comment>
    <comment ref="J77" authorId="2" shapeId="0" xr:uid="{00000000-0006-0000-1700-000004000000}">
      <text>
        <r>
          <rPr>
            <sz val="9"/>
            <color indexed="81"/>
            <rFont val="宋体"/>
            <charset val="134"/>
          </rPr>
          <t>Sigap 1:
Incluida dentro de la RUMCLA. En la zona Cultural y Altamente Poblada.</t>
        </r>
      </text>
    </comment>
    <comment ref="I86" authorId="3" shapeId="0" xr:uid="{00000000-0006-0000-1700-000005000000}">
      <text>
        <r>
          <rPr>
            <sz val="9"/>
            <color indexed="81"/>
            <rFont val="宋体"/>
            <charset val="134"/>
          </rPr>
          <t>SIGAP1:
Se suman 123.55 ha de la zona de amortiguamiento medida por el RIC. Resolución 05/03/2014</t>
        </r>
      </text>
    </comment>
  </commentList>
</comments>
</file>

<file path=xl/sharedStrings.xml><?xml version="1.0" encoding="utf-8"?>
<sst xmlns="http://schemas.openxmlformats.org/spreadsheetml/2006/main" count="12860" uniqueCount="2712">
  <si>
    <t>No.</t>
  </si>
  <si>
    <t>CÓDIGO</t>
  </si>
  <si>
    <t>NOMBRE</t>
  </si>
  <si>
    <t>Categoría de Manejo</t>
  </si>
  <si>
    <t>Tipo Categoría</t>
  </si>
  <si>
    <t>Región Administrativa</t>
  </si>
  <si>
    <t>Municipio</t>
  </si>
  <si>
    <t>Departamento</t>
  </si>
  <si>
    <t>VALOR UNITARIO (ha)</t>
  </si>
  <si>
    <t>Total SUMA OFICIAL (ha)</t>
  </si>
  <si>
    <t>Total Global APs (ha)</t>
  </si>
  <si>
    <t>Base Legal Declaratoria</t>
  </si>
  <si>
    <t>Año Declaratoria</t>
  </si>
  <si>
    <t>Inscripción en Libro Jurídico</t>
  </si>
  <si>
    <t>ADMINISTRADOR</t>
  </si>
  <si>
    <t>Tipo Administración</t>
  </si>
  <si>
    <t>Convenio Coadministración</t>
  </si>
  <si>
    <t>TIENE PLAN MAESTRO</t>
  </si>
  <si>
    <t xml:space="preserve">Estado </t>
  </si>
  <si>
    <t>Base Legal Plan Maestro</t>
  </si>
  <si>
    <t>Año de Aprobación</t>
  </si>
  <si>
    <t>Periódo de Planificación</t>
  </si>
  <si>
    <t>Estudios Técnicos</t>
  </si>
  <si>
    <t>Dentro de Otra Área Protegida</t>
  </si>
  <si>
    <t>Numero de Expediente</t>
  </si>
  <si>
    <t>Base Legal Delimitación</t>
  </si>
  <si>
    <t>Base Legal Zonificación</t>
  </si>
  <si>
    <t>Observaciones de su delimitación y zonificación</t>
  </si>
  <si>
    <t>SIGAP-001</t>
  </si>
  <si>
    <r>
      <rPr>
        <sz val="10"/>
        <color theme="1"/>
        <rFont val="Calibri"/>
        <charset val="134"/>
      </rPr>
      <t xml:space="preserve">Tikal  </t>
    </r>
    <r>
      <rPr>
        <sz val="12"/>
        <color indexed="10"/>
        <rFont val="Calibri"/>
        <charset val="134"/>
      </rPr>
      <t>***</t>
    </r>
  </si>
  <si>
    <t>Parque Nacional</t>
  </si>
  <si>
    <t>Tipo I</t>
  </si>
  <si>
    <t>Petén</t>
  </si>
  <si>
    <t>Flores, San José</t>
  </si>
  <si>
    <t>Ac.Gub. 26-05 55, Dec.Leg. 4-89 y 5-90</t>
  </si>
  <si>
    <t>n/a</t>
  </si>
  <si>
    <t>IDAEH</t>
  </si>
  <si>
    <t>APOYO EN LA ADMINISTRACIÓN CONJUNTA</t>
  </si>
  <si>
    <t>Con Plan Maestro</t>
  </si>
  <si>
    <t>No Actualizado</t>
  </si>
  <si>
    <t>Resolución SE-CONAP ALC/04/2004</t>
  </si>
  <si>
    <t>2004-2008</t>
  </si>
  <si>
    <t>no</t>
  </si>
  <si>
    <t>Reserva de Biósfera Maya</t>
  </si>
  <si>
    <t>Resolución 03-02-2013</t>
  </si>
  <si>
    <t>Plan Maestro no vigente</t>
  </si>
  <si>
    <t>SIGAP-002</t>
  </si>
  <si>
    <t>Cerro Cahuí</t>
  </si>
  <si>
    <t>Biotopo Protegido</t>
  </si>
  <si>
    <t>Tipo II</t>
  </si>
  <si>
    <t xml:space="preserve">Dec.Leg. 4-89 </t>
  </si>
  <si>
    <t>CECON / USAC</t>
  </si>
  <si>
    <t>APOY0 EN LA ADMINISTRACIÓN CONJUNTA</t>
  </si>
  <si>
    <t>En actualización</t>
  </si>
  <si>
    <t xml:space="preserve">Resolución SE-CONAP ALC 05/07/2003 </t>
  </si>
  <si>
    <t>2003-2007</t>
  </si>
  <si>
    <t>Resolución CONAP 03-08-2013</t>
  </si>
  <si>
    <t>SIGAP-003</t>
  </si>
  <si>
    <t>Sierra del Lacandón</t>
  </si>
  <si>
    <t>La Libertad</t>
  </si>
  <si>
    <t>Dec.Leg. 4-89 y 5-90</t>
  </si>
  <si>
    <t>CONAP / FDN</t>
  </si>
  <si>
    <t>COADMINISTRACIÓN</t>
  </si>
  <si>
    <t>Indefinido</t>
  </si>
  <si>
    <t xml:space="preserve">Resolución SE-CONAP 091/2006 </t>
  </si>
  <si>
    <t>2006-2010</t>
  </si>
  <si>
    <t>si</t>
  </si>
  <si>
    <t>S/N</t>
  </si>
  <si>
    <t>Decreto 5-90</t>
  </si>
  <si>
    <t>Plan Maestro vigente</t>
  </si>
  <si>
    <t>SIGAP-004</t>
  </si>
  <si>
    <r>
      <rPr>
        <sz val="10"/>
        <color theme="1"/>
        <rFont val="Calibri"/>
        <charset val="134"/>
      </rPr>
      <t xml:space="preserve">Laguna del Tigre </t>
    </r>
    <r>
      <rPr>
        <sz val="12"/>
        <color indexed="10"/>
        <rFont val="Calibri"/>
        <charset val="134"/>
      </rPr>
      <t>**</t>
    </r>
  </si>
  <si>
    <t>San Andrés</t>
  </si>
  <si>
    <t>CONAP</t>
  </si>
  <si>
    <t>ADMINISTRACIÓN</t>
  </si>
  <si>
    <t>cancelado</t>
  </si>
  <si>
    <t xml:space="preserve">Resolución  SE-CONAP 203/2010 </t>
  </si>
  <si>
    <t>2007-2011</t>
  </si>
  <si>
    <t>SIGAP-005</t>
  </si>
  <si>
    <r>
      <rPr>
        <sz val="10"/>
        <color theme="1"/>
        <rFont val="Calibri"/>
        <charset val="134"/>
      </rPr>
      <t xml:space="preserve">Laguna del Tigre -Río Escondido- </t>
    </r>
    <r>
      <rPr>
        <sz val="12"/>
        <color indexed="10"/>
        <rFont val="Calibri"/>
        <charset val="134"/>
      </rPr>
      <t>**</t>
    </r>
  </si>
  <si>
    <t>Resolución SE-CONAP 203/2010</t>
  </si>
  <si>
    <t>SIGAP-006</t>
  </si>
  <si>
    <t>Mirador - Río Azul</t>
  </si>
  <si>
    <t>Flores, Melchor de Mencos, San José, San Andrés</t>
  </si>
  <si>
    <t>Resolución SE-CONAP 324/2009</t>
  </si>
  <si>
    <t>2009-2013</t>
  </si>
  <si>
    <t>SIGAP-007</t>
  </si>
  <si>
    <t>San Miguel La Palotada - El Zotz</t>
  </si>
  <si>
    <t>San José</t>
  </si>
  <si>
    <t>Sin Plan Maestro</t>
  </si>
  <si>
    <t>En elaboración</t>
  </si>
  <si>
    <t>Sin zonificación</t>
  </si>
  <si>
    <t>SIGAP-008</t>
  </si>
  <si>
    <t>Naachtún - Dos Lagunas</t>
  </si>
  <si>
    <t>Flores, El Pilar</t>
  </si>
  <si>
    <t xml:space="preserve">Resolución SE-CONAP 324/2009 </t>
  </si>
  <si>
    <t>SIGAP-010</t>
  </si>
  <si>
    <r>
      <rPr>
        <sz val="10"/>
        <color theme="1"/>
        <rFont val="Calibri"/>
        <charset val="134"/>
      </rPr>
      <t xml:space="preserve">Yaxhá - Nakúm - Naranjo </t>
    </r>
    <r>
      <rPr>
        <sz val="12"/>
        <color indexed="10"/>
        <rFont val="Calibri"/>
        <charset val="134"/>
      </rPr>
      <t>**</t>
    </r>
  </si>
  <si>
    <t>Flores, Melchor de Mencos</t>
  </si>
  <si>
    <t xml:space="preserve">Dec. Leg, 55-2003, Dec. Leg 4-89 y 5-90 </t>
  </si>
  <si>
    <t>Actualizado</t>
  </si>
  <si>
    <t>Resolución SE-CONAP 224/2006</t>
  </si>
  <si>
    <t>Decreto 55-2003</t>
  </si>
  <si>
    <t>SIGAP-011</t>
  </si>
  <si>
    <r>
      <rPr>
        <sz val="10"/>
        <rFont val="Calibri"/>
        <charset val="134"/>
      </rPr>
      <t>Maya</t>
    </r>
    <r>
      <rPr>
        <sz val="10"/>
        <color rgb="FFFF0000"/>
        <rFont val="Calibri"/>
        <charset val="134"/>
      </rPr>
      <t>***</t>
    </r>
  </si>
  <si>
    <t>Reserva de la Biosfera</t>
  </si>
  <si>
    <t>Tipo VI</t>
  </si>
  <si>
    <t>Flores, Las Cruces, La Libertad, Melchor de Mencos, San José, San Andrés, San Benito</t>
  </si>
  <si>
    <t xml:space="preserve">Petén </t>
  </si>
  <si>
    <t>Dec.Leg. 5-90</t>
  </si>
  <si>
    <t>Resolución SE-CONAP 734/2015</t>
  </si>
  <si>
    <t>2016-2020</t>
  </si>
  <si>
    <t>N/A</t>
  </si>
  <si>
    <t>Zonas Núcleo en Decreto 5-90, ZAM establecida en Decreto 5-90, establecidas las coordenadas y aprobadas por Resolución CONAP 03-17-2012. Zona de Usos Múltiples establecida en en Plan Maestro vigente</t>
  </si>
  <si>
    <t>El Plan Maestro reconoce al Biotopo Cerro Cahuí como una Zona Núcleo de la RBM por su Categoría de Manejo (Tipo II Biotopo), y su delimitación está en la Resolución de Consejo No. 03-08-2013</t>
  </si>
  <si>
    <t>SIGAP-012</t>
  </si>
  <si>
    <t>San Román</t>
  </si>
  <si>
    <t>Reserva Biológica</t>
  </si>
  <si>
    <t>Sayaxché</t>
  </si>
  <si>
    <t>Dec.Leg.64-95 y Ac.Gub. 880-98</t>
  </si>
  <si>
    <t>Resolución SE-CONAP 125/2008</t>
  </si>
  <si>
    <t>2008-2012</t>
  </si>
  <si>
    <t>Decreto 64-95</t>
  </si>
  <si>
    <t>ZAM en Decreto 64-95 y otras zonas en Plan Maestro vigente</t>
  </si>
  <si>
    <t>SIGAP-013</t>
  </si>
  <si>
    <t>El Pucté</t>
  </si>
  <si>
    <t>Refugio de Vida Silvestre</t>
  </si>
  <si>
    <t>Tipo III</t>
  </si>
  <si>
    <t>Sayaxché, La Libertad</t>
  </si>
  <si>
    <t>Dec.Leg  64-95</t>
  </si>
  <si>
    <t>SIGAP-014</t>
  </si>
  <si>
    <t>Petexbatún</t>
  </si>
  <si>
    <t>Dec.Leg.64-95</t>
  </si>
  <si>
    <t>SIGAP-015</t>
  </si>
  <si>
    <t>Aguateca</t>
  </si>
  <si>
    <t>Monumento Cultural</t>
  </si>
  <si>
    <t>CONAP / IDAEH</t>
  </si>
  <si>
    <t>SIGAP-016</t>
  </si>
  <si>
    <t>Dos Pilas</t>
  </si>
  <si>
    <t>SIGAP-017</t>
  </si>
  <si>
    <t>Ceibal</t>
  </si>
  <si>
    <t>SIGAP-018</t>
  </si>
  <si>
    <t>Montañas Mayas Chiquibul</t>
  </si>
  <si>
    <t>Dolores, Poptún, Melchor de Mencos, San Luis</t>
  </si>
  <si>
    <t>Resolución SE-CONAP 188/2011</t>
  </si>
  <si>
    <t>2011-2015</t>
  </si>
  <si>
    <t>SIGAP-019</t>
  </si>
  <si>
    <t>Machaquilá</t>
  </si>
  <si>
    <t>Dolores, Poptún, San Luis</t>
  </si>
  <si>
    <t>SIGAP-020</t>
  </si>
  <si>
    <t>Xutilhá</t>
  </si>
  <si>
    <t>Poptún, San Luis</t>
  </si>
  <si>
    <t>SIGAP-021</t>
  </si>
  <si>
    <t>Cuenca del Lago Atitlán</t>
  </si>
  <si>
    <t>Reserva de Uso Multiple</t>
  </si>
  <si>
    <t>Altiplano Central</t>
  </si>
  <si>
    <t>Varios</t>
  </si>
  <si>
    <t>Chimaltenango; Quiche; Suchitepequez; Sololá; Totonicapan</t>
  </si>
  <si>
    <t>Ac. Gub 05-55, Dec.Leg.4-89 y 64-97</t>
  </si>
  <si>
    <t>Resolución SE-CONAP 137/2007</t>
  </si>
  <si>
    <t>Decreto 64-97</t>
  </si>
  <si>
    <t>El Decreto 64-97 define la zonificación pero no presenta coordenadas, por lo que la base legal de delimitación de la zonificación interna es el Plan Maestro vigente.</t>
  </si>
  <si>
    <t>SIGAP-022</t>
  </si>
  <si>
    <t>Cerro del Baúl</t>
  </si>
  <si>
    <t>Altiplano Occidental</t>
  </si>
  <si>
    <t>Quetzaltenango</t>
  </si>
  <si>
    <t>Ac. Gub. 26-05-55</t>
  </si>
  <si>
    <t>Municipalidad de Quetzaltenango</t>
  </si>
  <si>
    <t>Sin delimitación</t>
  </si>
  <si>
    <t>Acuerdo Gubernativo 26-05-55 indica que comprende los terrenos municipales del mismo nombre</t>
  </si>
  <si>
    <t>SIGAP-023</t>
  </si>
  <si>
    <t>El Reformador</t>
  </si>
  <si>
    <t>Oriente</t>
  </si>
  <si>
    <t>San Agustín Acasaguastlán</t>
  </si>
  <si>
    <t>El Progreso</t>
  </si>
  <si>
    <t>Ac.Gub. 26-05-55</t>
  </si>
  <si>
    <t>Reserva de Biósfera Sierra de las Minas</t>
  </si>
  <si>
    <t>Acuerdo Gubernativo 26-05-55 indica que comprende los terrenos municipales del cerro del mismo nombre</t>
  </si>
  <si>
    <t>SIGAP-024</t>
  </si>
  <si>
    <t>Grutas de Lanquín</t>
  </si>
  <si>
    <t>Verapaces</t>
  </si>
  <si>
    <t>Lanquín</t>
  </si>
  <si>
    <t>Alta Verapaz</t>
  </si>
  <si>
    <t>Municipalidad de Lanquín</t>
  </si>
  <si>
    <t>Resolución 02-28-2016</t>
  </si>
  <si>
    <t>Acuerdo Gubernativo 26-05-55 indica que debió ser delimitada por Dirección General Forestal</t>
  </si>
  <si>
    <t>SIGAP-025</t>
  </si>
  <si>
    <t>Laguna del Pino</t>
  </si>
  <si>
    <t>Suroriente</t>
  </si>
  <si>
    <t>Barberena, Santa Cruz El Naranjo</t>
  </si>
  <si>
    <t>Santa Rosa</t>
  </si>
  <si>
    <t>INAB</t>
  </si>
  <si>
    <t>En Elaboración</t>
  </si>
  <si>
    <t>Acuerdo Gubernativo 26-05-55 indica que comprende terrenos nacional finca "Viñas" en Barberena</t>
  </si>
  <si>
    <t>SIGAP-026</t>
  </si>
  <si>
    <t>Los Aposentos</t>
  </si>
  <si>
    <t>El Tejar, Chimaltenango</t>
  </si>
  <si>
    <t>Chimaltenango</t>
  </si>
  <si>
    <t>Acuerdo Gubernativo 26-05-55 indica que comprende terrenos y bosques de propiedad municipal</t>
  </si>
  <si>
    <t>SIGAP-027</t>
  </si>
  <si>
    <t>Naciones Unidas</t>
  </si>
  <si>
    <t>Metropolitana</t>
  </si>
  <si>
    <t>Villa Nueva, Amatitlán</t>
  </si>
  <si>
    <t>Guatemala</t>
  </si>
  <si>
    <t>Ac.Gub.26-05-55 y 319-97</t>
  </si>
  <si>
    <t>CONAP / INAB / FDN</t>
  </si>
  <si>
    <t>Resolución SE-CONAP      DL 078/2006</t>
  </si>
  <si>
    <t>El Acuerdo presidencial 26-05-55 indica que comprende terrenos nacionales de finca “Bárcena”. Sin embargo no establece coordenadas por lo que se considera el Plan Maestro como la base legal de su delimitación y zonificación. Hay incongruencias con interpretación de Acuerdo presidencial y Plan Maestro.</t>
  </si>
  <si>
    <t>SIGAP-028</t>
  </si>
  <si>
    <t>Río Dulce</t>
  </si>
  <si>
    <t>Nororiente</t>
  </si>
  <si>
    <t>Livingston</t>
  </si>
  <si>
    <t>Izabal</t>
  </si>
  <si>
    <t>Ac.Gub.28-05-55, 23-08-88, 182-93</t>
  </si>
  <si>
    <t>Resolución SE-CONAP 160/2005 y 84/2007</t>
  </si>
  <si>
    <t>2005-2010</t>
  </si>
  <si>
    <t>Acuerdo Gubernativo 23/08/1968 y Acuerdo Gubernativo 182-93</t>
  </si>
  <si>
    <t>Acuerdo Gubernativo 182-93</t>
  </si>
  <si>
    <t>El Plan Maestro presenta una propuesta de zonificación pero permanece vigente el Acuerdo Gubernativo 182-93</t>
  </si>
  <si>
    <t>SIGAP-029</t>
  </si>
  <si>
    <t>Riscos de Momostenango</t>
  </si>
  <si>
    <t>Momostenango</t>
  </si>
  <si>
    <t>Totonicapán</t>
  </si>
  <si>
    <t>Ac.Gub. 26-05-55  Resolución 03-35-2016</t>
  </si>
  <si>
    <t>Resolución 03-35-2016</t>
  </si>
  <si>
    <t>SIGAP-030</t>
  </si>
  <si>
    <t>Bahía de Santo Tomás</t>
  </si>
  <si>
    <t>Zona de Veda Definitiva</t>
  </si>
  <si>
    <t>Sin Categoría</t>
  </si>
  <si>
    <t>Puerto Barrios</t>
  </si>
  <si>
    <t>Ac.Gub. 21-06-56/ Resolución SE 06/16/2016</t>
  </si>
  <si>
    <t>Resolución 06-16-2016</t>
  </si>
  <si>
    <t>Acuerdo Gubernativo 21-06-56 solamente indica extensión de 1.5 km en su contorno y delimitará DGF</t>
  </si>
  <si>
    <t>SIGAP-031</t>
  </si>
  <si>
    <t>Cerro Miramundo</t>
  </si>
  <si>
    <t>Zacapa</t>
  </si>
  <si>
    <t>Ac.Gub. 21-06-56</t>
  </si>
  <si>
    <t>Acuerdo Gubernativo 21-06-56 solamente indica extensión y municipio (Zacapa)</t>
  </si>
  <si>
    <t>SIGAP-032</t>
  </si>
  <si>
    <t>Santa Rosalía</t>
  </si>
  <si>
    <t>Río Hondo, Teculután</t>
  </si>
  <si>
    <t>Acuerdo Gubernativo 21-06-56 solamente indica extensión y municipio (Río Hondo)</t>
  </si>
  <si>
    <t>SIGAP-033</t>
  </si>
  <si>
    <t>Volcán Acatenango</t>
  </si>
  <si>
    <t>Acatenango, Yepocapa, Sn Andrés Itzapa; Alotenango, Ciudad Vieja, San Miguel Dueñas</t>
  </si>
  <si>
    <t>Chimaltenango; Sacatepéquez</t>
  </si>
  <si>
    <t>Ac.Gub. 21-06-56. Res. HCONAP 01-08-2014</t>
  </si>
  <si>
    <t>Resolución 01/07/2014</t>
  </si>
  <si>
    <t>Acuerdo Gubernativo 21-06-56 solamente indica desde su cráter hasta los desniveles del 30% como límite. Se utiliza la delimitación del Documento Técnico No. 07 Los Volcanes de Guatemala: Identificación y Priorización para su manejo dentro de la Estrategia de desarrollo del SIGAP.</t>
  </si>
  <si>
    <t>SIGAP-034</t>
  </si>
  <si>
    <t>Volcán Agua</t>
  </si>
  <si>
    <t>Escuintla, Palín; Santa María de Jesús, Alotenango, Antigua Guatemala, Ciudad Vieja</t>
  </si>
  <si>
    <t>Escuintla; Sacatepéquez</t>
  </si>
  <si>
    <t>Resolución 07-24-2015</t>
  </si>
  <si>
    <t>SIGAP-035</t>
  </si>
  <si>
    <t>Volcán Alzatate</t>
  </si>
  <si>
    <t>Jalapa, San Carlos Alzatate</t>
  </si>
  <si>
    <t>Jalapa</t>
  </si>
  <si>
    <t>Resolución 12-28-2015</t>
  </si>
  <si>
    <t>SIGAP-036</t>
  </si>
  <si>
    <t>Volcán Amayo</t>
  </si>
  <si>
    <t>Jutiapa, Quesada</t>
  </si>
  <si>
    <t>Jutiapa</t>
  </si>
  <si>
    <t>Resolución 02-28-2015</t>
  </si>
  <si>
    <t>SIGAP-038</t>
  </si>
  <si>
    <t>Volcán Cerro Quemado</t>
  </si>
  <si>
    <t>Parque Regional Municipal Quetzaltenango - Saqbé</t>
  </si>
  <si>
    <t>Resolución 13-24-2015</t>
  </si>
  <si>
    <t>SIGAP-039</t>
  </si>
  <si>
    <t>Volcán Cerro Redondo</t>
  </si>
  <si>
    <t>Barberena</t>
  </si>
  <si>
    <t>Resolución 06-28-2015</t>
  </si>
  <si>
    <t>SIGAP-040</t>
  </si>
  <si>
    <t>Volcán Chicabal</t>
  </si>
  <si>
    <t>San Martín Sacatepéquez</t>
  </si>
  <si>
    <t xml:space="preserve">Se dejo sin efecto </t>
  </si>
  <si>
    <t>Elaborado</t>
  </si>
  <si>
    <t>Resolución 502/2016</t>
  </si>
  <si>
    <t>2016-2021</t>
  </si>
  <si>
    <t>Categorización</t>
  </si>
  <si>
    <t>Resolución 19-24-2015</t>
  </si>
  <si>
    <t>SIGAP-041</t>
  </si>
  <si>
    <t>Volcán Chingo</t>
  </si>
  <si>
    <t>Atescatempa, Jeréz</t>
  </si>
  <si>
    <t>Resolución 16-28-2015</t>
  </si>
  <si>
    <t>SIGAP-043</t>
  </si>
  <si>
    <t>Volcán Cruz Quemada</t>
  </si>
  <si>
    <t>Santa María Ixhuatán</t>
  </si>
  <si>
    <t>Resolución 04-28-2015</t>
  </si>
  <si>
    <t>SIGAP-044</t>
  </si>
  <si>
    <t>Volcán Culma</t>
  </si>
  <si>
    <t>Resolución 12-27-2015</t>
  </si>
  <si>
    <t>SIGAP-045</t>
  </si>
  <si>
    <t>Volcán Fuego</t>
  </si>
  <si>
    <t>Alotenango; Yepocapa; Escuintla, Siquinalá</t>
  </si>
  <si>
    <t>Sacatepéquez; Chimaltenango; Escuintla</t>
  </si>
  <si>
    <t>SIGAP-046</t>
  </si>
  <si>
    <t>Volcán Ixtepeque</t>
  </si>
  <si>
    <t>Agua Blanca, Asunción Mita, Santa Catarina Mita</t>
  </si>
  <si>
    <t>Resolución 08-27-2015</t>
  </si>
  <si>
    <t>SIGAP-047</t>
  </si>
  <si>
    <t>Volcán Jumay</t>
  </si>
  <si>
    <t>Resolución 04-27-2015</t>
  </si>
  <si>
    <t>SIGAP-048</t>
  </si>
  <si>
    <t>Volcán Jumaytepeque</t>
  </si>
  <si>
    <t>Nueva Santa Rosa</t>
  </si>
  <si>
    <t>Resolución 08-28-2015</t>
  </si>
  <si>
    <t>SIGAP-049</t>
  </si>
  <si>
    <t>Volcán Lacandón</t>
  </si>
  <si>
    <t>Colomba, Ostuncalco, San Martín Sacatepéquez</t>
  </si>
  <si>
    <t>Resolución 11-24-2015</t>
  </si>
  <si>
    <t>SIGAP-050</t>
  </si>
  <si>
    <t>Volcán Las Víboras</t>
  </si>
  <si>
    <t>Atescatempa, Asunción Mita</t>
  </si>
  <si>
    <t>Resolución 02-27-2015</t>
  </si>
  <si>
    <t>SIGAP-052</t>
  </si>
  <si>
    <t>Volcán Moyuta</t>
  </si>
  <si>
    <t>Moyuta</t>
  </si>
  <si>
    <t>Resolución 10-28-2015</t>
  </si>
  <si>
    <t>SIGAP-053</t>
  </si>
  <si>
    <t>Volcán de Pacaya y  Laguna de Calderas</t>
  </si>
  <si>
    <t>Costa Sur</t>
  </si>
  <si>
    <t>Amatitlán; San Vicente Pacaya</t>
  </si>
  <si>
    <t>Guatemala; Escuintla</t>
  </si>
  <si>
    <t>Ac.Gub. Del 21-06-56, Ac. Gub. 20-07-63</t>
  </si>
  <si>
    <t>caduco</t>
  </si>
  <si>
    <t>Resolución 01-06-2014</t>
  </si>
  <si>
    <t>SIGAP-054</t>
  </si>
  <si>
    <t>Volcán Pacaya</t>
  </si>
  <si>
    <t>Amatitlán, Villa Canales</t>
  </si>
  <si>
    <t>SIGAP-057</t>
  </si>
  <si>
    <t>Volcán Santa María</t>
  </si>
  <si>
    <t>Resolución 15-25-2015</t>
  </si>
  <si>
    <t>SIGAP-058</t>
  </si>
  <si>
    <t>Volcán Santiaguito</t>
  </si>
  <si>
    <t>Resolución 03-24-2015</t>
  </si>
  <si>
    <t>SIGAP-059</t>
  </si>
  <si>
    <t>Volcán Santo Tomás</t>
  </si>
  <si>
    <t>Nahualá; Zunil; San Francisco Zapotitlán, Pueblo Nuevo</t>
  </si>
  <si>
    <t>Sololá; Quetzaltenango; Suchitepéquez</t>
  </si>
  <si>
    <t>Resolución 21-24-2015</t>
  </si>
  <si>
    <t>SIGAP-060</t>
  </si>
  <si>
    <t>Volcán Siete Orejas</t>
  </si>
  <si>
    <t>Concepción Chiquirichapa, La Esperanza, Quetzaltenango, San Juan Ostuncalco, San Martín Sac.</t>
  </si>
  <si>
    <t>Resolución 17-24-2015</t>
  </si>
  <si>
    <t>SIGAP-061</t>
  </si>
  <si>
    <t>Volcán Tacaná</t>
  </si>
  <si>
    <t>Tacaná, Sibinal</t>
  </si>
  <si>
    <t>San Marcos</t>
  </si>
  <si>
    <t>Resolución 14-27-2015</t>
  </si>
  <si>
    <t>SIGAP-062</t>
  </si>
  <si>
    <t>Volcán Tahual</t>
  </si>
  <si>
    <t>Monjas; El Progreso, Jutiapa</t>
  </si>
  <si>
    <t>Jalapa; Jutiapa</t>
  </si>
  <si>
    <t>Resolución 06-27-2015</t>
  </si>
  <si>
    <t>SIGAP-063</t>
  </si>
  <si>
    <t>Volcán Tajumulco</t>
  </si>
  <si>
    <t>San Rafael Pie de la Cuesta, Tajumulco, San Marcos, San Pablo</t>
  </si>
  <si>
    <t>Resolución 09-24-2015</t>
  </si>
  <si>
    <t>SIGAP-064</t>
  </si>
  <si>
    <t>Volcán Tecuamburro</t>
  </si>
  <si>
    <t>Taxisco, Guazacapán, Pueblo Nuevo, Chiquimulilla</t>
  </si>
  <si>
    <t>Resolución 14-28-2015</t>
  </si>
  <si>
    <t>SIGAP-065</t>
  </si>
  <si>
    <t>Volcán Tobón</t>
  </si>
  <si>
    <t>San Pedro Pinula, Jalapa</t>
  </si>
  <si>
    <t>Resolución 10-27-2015</t>
  </si>
  <si>
    <t>SIGAP-067</t>
  </si>
  <si>
    <t>Volcán Zunil</t>
  </si>
  <si>
    <t>Zunil; Santa Catarina Ixtahuacán, Nahualá</t>
  </si>
  <si>
    <t>Quetzaltenango; Sololá</t>
  </si>
  <si>
    <t>Resolución 05-24-2015</t>
  </si>
  <si>
    <t>SIGAP-068</t>
  </si>
  <si>
    <t>Iximché</t>
  </si>
  <si>
    <t>Tecpán Guatemala</t>
  </si>
  <si>
    <t>Ac.Gub. 20-07-63.         Ac. Gub. 21-07-64 Modif. en 74 MINEDUC Resolución 01-35-2016</t>
  </si>
  <si>
    <t xml:space="preserve">IDAEH </t>
  </si>
  <si>
    <t>Resolución 01-35-2016</t>
  </si>
  <si>
    <t>El Acuerdo Gubernativo indica que se ubica en Tecpán Guatemala, Chimaltenango; delimitará y administrará la Dirección General Forestal.</t>
  </si>
  <si>
    <t>SIGAP-069</t>
  </si>
  <si>
    <t>Sipacate - Naranjo</t>
  </si>
  <si>
    <t>La Gomera</t>
  </si>
  <si>
    <t>Escuintla</t>
  </si>
  <si>
    <t>Ac.Gub.06-09-69</t>
  </si>
  <si>
    <t>Resolución SE-CONAP ALC/06/2004</t>
  </si>
  <si>
    <t>Hay una descripción en el Acuerdo Gubernativo pero no presenta coordenadas. Hay un polígono en Plan Maestro vigente pero con incongruencias con AG y con zonificación que se propone afuera del AP.</t>
  </si>
  <si>
    <t>SIGAP-071</t>
  </si>
  <si>
    <t>Cuevas de Silvino</t>
  </si>
  <si>
    <t>Morales</t>
  </si>
  <si>
    <t>Ac.Gub.10-10-72</t>
  </si>
  <si>
    <t>El Acuerdo Presidencial indica 8 ha en parcelamiento Navajoa donde se encuentran dos pequeñas lagunetas.</t>
  </si>
  <si>
    <t>SIGAP-073</t>
  </si>
  <si>
    <t>Mario Dary Rivera</t>
  </si>
  <si>
    <t>Salamá, Purulhá</t>
  </si>
  <si>
    <t>Baja Verapaz</t>
  </si>
  <si>
    <t>Ac.Mpal 06-77, Dec.Ley 4-89</t>
  </si>
  <si>
    <t>En Actualización</t>
  </si>
  <si>
    <t>Resolución SE-CONAP AS/68-2000</t>
  </si>
  <si>
    <t>2000-2004</t>
  </si>
  <si>
    <t>Resolución CONAP 04-09-2013</t>
  </si>
  <si>
    <t>El Plan Maestro vigente zonificó hacia afuera del área protegida. No presenta una zonificación interna.</t>
  </si>
  <si>
    <t>SIGAP-074</t>
  </si>
  <si>
    <r>
      <rPr>
        <sz val="10"/>
        <color theme="1"/>
        <rFont val="Calibri"/>
        <charset val="134"/>
      </rPr>
      <t>Zona de Reserva Para protección especial de la fauna, flora y en general del ecosistema natural y biotopo en el área (</t>
    </r>
    <r>
      <rPr>
        <b/>
        <sz val="10"/>
        <color theme="1"/>
        <rFont val="Calibri"/>
        <charset val="134"/>
      </rPr>
      <t>MONTERRICO</t>
    </r>
    <r>
      <rPr>
        <sz val="10"/>
        <color theme="1"/>
        <rFont val="Calibri"/>
        <charset val="134"/>
      </rPr>
      <t>)</t>
    </r>
  </si>
  <si>
    <t>Area de Uso Multiple</t>
  </si>
  <si>
    <t>Chiquimulilla, Guazacapán, Taxisco</t>
  </si>
  <si>
    <t>Ac.Gub.16-12-77, Dec.Leg.4-89</t>
  </si>
  <si>
    <t>Resolución SE-CONAP ALC/20-2000</t>
  </si>
  <si>
    <t>2000-2005</t>
  </si>
  <si>
    <t>SIGAP-075</t>
  </si>
  <si>
    <t>El Rosario</t>
  </si>
  <si>
    <t>Ac.Gub.10-10-80</t>
  </si>
  <si>
    <t>Complejos I &amp; II del Sur de Petén</t>
  </si>
  <si>
    <t>El Acuerdo Gubernativo indica que delimitará el FYDEP, extensión  y ubicación municipal (Sayaxché)</t>
  </si>
  <si>
    <t>SIGAP-076</t>
  </si>
  <si>
    <t>Las Victorias</t>
  </si>
  <si>
    <t>Cobán</t>
  </si>
  <si>
    <t>Dec.Leg. 9-80/ Resolución SE 04/16/2016</t>
  </si>
  <si>
    <t>Resolución 04-16-2016</t>
  </si>
  <si>
    <t>SIGAP-077</t>
  </si>
  <si>
    <r>
      <rPr>
        <sz val="10"/>
        <color theme="1"/>
        <rFont val="Calibri"/>
        <charset val="134"/>
      </rPr>
      <t>Trifinio</t>
    </r>
    <r>
      <rPr>
        <sz val="10"/>
        <color rgb="FFFF0000"/>
        <rFont val="Calibri"/>
        <charset val="134"/>
      </rPr>
      <t>***</t>
    </r>
  </si>
  <si>
    <t>Concepción Las Minas, Esquipulas, Quetzaltepeque</t>
  </si>
  <si>
    <t>Chiquimula</t>
  </si>
  <si>
    <t>Ac.Gub.939-87</t>
  </si>
  <si>
    <t>CONAP / MAGA / PLAN TRIFINIO</t>
  </si>
  <si>
    <t>Resolución 04-03-2017</t>
  </si>
  <si>
    <t>SIGAP-078</t>
  </si>
  <si>
    <t>Chocón Machacas</t>
  </si>
  <si>
    <t xml:space="preserve">Dec.Leg.4-89 </t>
  </si>
  <si>
    <t>SIGAP-079</t>
  </si>
  <si>
    <r>
      <rPr>
        <sz val="10"/>
        <color theme="1"/>
        <rFont val="Calibri"/>
        <charset val="134"/>
      </rPr>
      <t>Sierra de las Minas</t>
    </r>
    <r>
      <rPr>
        <sz val="10"/>
        <color rgb="FFFF0000"/>
        <rFont val="Calibri"/>
        <charset val="134"/>
      </rPr>
      <t>***</t>
    </r>
  </si>
  <si>
    <t>Verapaces, Nororiente, Oriente</t>
  </si>
  <si>
    <t>Alta Verapaz, Baja Verapaz. El Progreso, Zacapa, Izabal</t>
  </si>
  <si>
    <t>Dec. Leg. 49-90</t>
  </si>
  <si>
    <t>JUNTA DIRECTIVA SIERRA DE LAS MINAS</t>
  </si>
  <si>
    <t>Resolución SE-CONAP  54/2011</t>
  </si>
  <si>
    <t>Decreto 49-90</t>
  </si>
  <si>
    <t>Decreto 49-90 y Plan Maestro vigente</t>
  </si>
  <si>
    <t>El Decreto 49-90 indica que el Plan Maestro puede modificar Zona Núcleo en un máximo de 15% del original sin afectar bosque o pluvial o nuboso.</t>
  </si>
  <si>
    <t>SIGAP-080</t>
  </si>
  <si>
    <t>Ceibo Mocho Flor de la Pasión</t>
  </si>
  <si>
    <t>Reserva Natural Privada</t>
  </si>
  <si>
    <t>Tipo V</t>
  </si>
  <si>
    <t>Resolución SE-CONAP 03-95</t>
  </si>
  <si>
    <t>Jorge Mario Orozco L.</t>
  </si>
  <si>
    <t>SIGAP-081</t>
  </si>
  <si>
    <t>Doña Chanita Flor de la Pasión</t>
  </si>
  <si>
    <t>Resolución SE-CONAP 02-95</t>
  </si>
  <si>
    <t>SIGAP-082</t>
  </si>
  <si>
    <t>El Higuerito</t>
  </si>
  <si>
    <t xml:space="preserve">Resolución SE-CONAP 20-95 y 136-2005 </t>
  </si>
  <si>
    <t>Juan Antonio Paz Q.</t>
  </si>
  <si>
    <t>Reserva Protectora de Manantiales Cerro San Gil y Parque Nacional Río Dulce</t>
  </si>
  <si>
    <t>SIGAP-083</t>
  </si>
  <si>
    <t>La Cumbre Flor de la Pasión</t>
  </si>
  <si>
    <t>Resolución SE-CONAP 01-95</t>
  </si>
  <si>
    <t>SIGAP-084</t>
  </si>
  <si>
    <r>
      <rPr>
        <sz val="10"/>
        <color theme="1"/>
        <rFont val="Calibri"/>
        <charset val="134"/>
      </rPr>
      <t xml:space="preserve">Bocas del Polochic  </t>
    </r>
    <r>
      <rPr>
        <sz val="12"/>
        <color indexed="10"/>
        <rFont val="Calibri"/>
        <charset val="134"/>
      </rPr>
      <t>**</t>
    </r>
  </si>
  <si>
    <t>El Estor</t>
  </si>
  <si>
    <t>Dec.Leg. 38-96</t>
  </si>
  <si>
    <t>Resolución SE-CONAP DJ/36/2004</t>
  </si>
  <si>
    <t>2004-2009</t>
  </si>
  <si>
    <t>Decreto 38-96</t>
  </si>
  <si>
    <t>Primer Plan Maestro aprobado por Resolución SE-CONAP DJ/36/2004</t>
  </si>
  <si>
    <t>El Decreto 38-96 indica que la zonificación se establecerá en el Primer Plan Maestro aprobado por CONAP</t>
  </si>
  <si>
    <t>SIGAP-085</t>
  </si>
  <si>
    <t>Puerto Viejo</t>
  </si>
  <si>
    <t>Resolución SE-CONAP  28-96</t>
  </si>
  <si>
    <t>Inversiones CANAIMA, S.A.</t>
  </si>
  <si>
    <t>SIGAP-086</t>
  </si>
  <si>
    <t>Cataljí o Sacataljí</t>
  </si>
  <si>
    <t>Resolución SE-CONAP 12-96</t>
  </si>
  <si>
    <t>INGUAT</t>
  </si>
  <si>
    <t>SIGAP-087</t>
  </si>
  <si>
    <t>Cerro San Gil</t>
  </si>
  <si>
    <t>Reserva Protectora de Manantiales</t>
  </si>
  <si>
    <t>Livingston, Puerto Barrios</t>
  </si>
  <si>
    <t>Dec.Ley 129-96</t>
  </si>
  <si>
    <t>CONSEJO EJECUTIVO LOCAL DE CERRO SAN GIL</t>
  </si>
  <si>
    <t>Licitación</t>
  </si>
  <si>
    <t>Resolución SE-CONAP   SEJ. 401/2008</t>
  </si>
  <si>
    <t>Decreto 129-96</t>
  </si>
  <si>
    <t>SIGAP-088</t>
  </si>
  <si>
    <r>
      <rPr>
        <sz val="10"/>
        <color theme="1"/>
        <rFont val="Calibri"/>
        <charset val="134"/>
      </rPr>
      <t xml:space="preserve">Laguna Lachuá  </t>
    </r>
    <r>
      <rPr>
        <sz val="12"/>
        <color indexed="10"/>
        <rFont val="Calibri"/>
        <charset val="134"/>
      </rPr>
      <t>**</t>
    </r>
  </si>
  <si>
    <t>Disposición del INTA 1976,(Articulo 89 Reformado por Art. 31 del Dec.Leg.110-96)</t>
  </si>
  <si>
    <t>Resolución SE-CONAP      DJ 37/2004 y SC 6/2006</t>
  </si>
  <si>
    <t>Acuerdo Gubernativo 719-2003</t>
  </si>
  <si>
    <r>
      <rPr>
        <sz val="10"/>
        <color theme="1"/>
        <rFont val="Calibri"/>
        <charset val="134"/>
      </rPr>
      <t>El Acuerdo Gubernativo 719-2003 aprueba la medida legal de la finca nacional Parque Nacional Laguna Lachuá, pero no presenta coordenadas. El PM vigente (no es el impreso porque fue modificado posteriormente) tiene coordenadas delimitación pero no necesariamente congruentes con el AG 719-2003. La zonificación no presenta coordenadas. OJO!</t>
    </r>
    <r>
      <rPr>
        <sz val="10"/>
        <color rgb="FFFF0000"/>
        <rFont val="Calibri"/>
        <charset val="134"/>
      </rPr>
      <t xml:space="preserve"> El PM impreso publicado no es el vigente.</t>
    </r>
  </si>
  <si>
    <t>SIGAP-089</t>
  </si>
  <si>
    <t>Pachuj</t>
  </si>
  <si>
    <t>San Lucas Tolimán</t>
  </si>
  <si>
    <t>Sololá</t>
  </si>
  <si>
    <t>Resolución SE-CONAP 31-96</t>
  </si>
  <si>
    <t>Pachuj, S. A.</t>
  </si>
  <si>
    <t>Reserva de Uso Múltiple Cuenca del Lago Atitlán</t>
  </si>
  <si>
    <t>SIGAP-090</t>
  </si>
  <si>
    <t>Tewancarnero</t>
  </si>
  <si>
    <t>Parque Regional Municipal</t>
  </si>
  <si>
    <t>Tipo IV</t>
  </si>
  <si>
    <t>Tacaná</t>
  </si>
  <si>
    <t>Resolución SE-CONAP 08-96</t>
  </si>
  <si>
    <t>Municipalidad de Tacaná</t>
  </si>
  <si>
    <t>SIGAP-091</t>
  </si>
  <si>
    <t>Zunil</t>
  </si>
  <si>
    <t>Resolución SE-CONAP 17-96</t>
  </si>
  <si>
    <t>Municipalidad de Zunil</t>
  </si>
  <si>
    <t>SIGAP-092</t>
  </si>
  <si>
    <t>Cordillera Alux</t>
  </si>
  <si>
    <t>Reserva Forestal Protectora de Manantiales</t>
  </si>
  <si>
    <t>San Pedro Sac., San Juan Sac, Mixco; Santiago Sac., San Lucas Sac.</t>
  </si>
  <si>
    <t>Guatemala; Sacatepéquez</t>
  </si>
  <si>
    <t>Dec.Leg. 41-97</t>
  </si>
  <si>
    <t>En  Actualización</t>
  </si>
  <si>
    <t>Resolución SE-CONAP 7/2010</t>
  </si>
  <si>
    <t>2010-2014</t>
  </si>
  <si>
    <t>Decreto 41-97</t>
  </si>
  <si>
    <t>SIGAP-093</t>
  </si>
  <si>
    <t>Dolores Hidalgo</t>
  </si>
  <si>
    <t>El Asintal</t>
  </si>
  <si>
    <t>Retalhuleu</t>
  </si>
  <si>
    <t>Resolución SE-CONAP  88-97</t>
  </si>
  <si>
    <t>Agropecuaria Dolores Hidalgo, S.A.</t>
  </si>
  <si>
    <t>SIGAP-094</t>
  </si>
  <si>
    <t>El Espino</t>
  </si>
  <si>
    <t>Resolución SE-CONAP  91-97</t>
  </si>
  <si>
    <t>Manfredo Töpke</t>
  </si>
  <si>
    <t>SIGAP-095</t>
  </si>
  <si>
    <t>Los Altos de San Miguel Totonicapán</t>
  </si>
  <si>
    <t>Resolución SE-CONAP  102-97</t>
  </si>
  <si>
    <t>Municipalidad de Totonicapán</t>
  </si>
  <si>
    <t>SIGAP-096</t>
  </si>
  <si>
    <t>Santa Elena</t>
  </si>
  <si>
    <t>Resolución SE-CONAP 122-97</t>
  </si>
  <si>
    <t>Agroindustria Comercial AZUSA,  S. A.</t>
  </si>
  <si>
    <t>SIGAP-097</t>
  </si>
  <si>
    <t>Ixil Visis-Cabá</t>
  </si>
  <si>
    <t>Noroccidente</t>
  </si>
  <si>
    <t>Chajul, Nebaj, Uspantán</t>
  </si>
  <si>
    <t>Quiché</t>
  </si>
  <si>
    <t>Dec.Leg.40-97, 128-97</t>
  </si>
  <si>
    <t>Decreto 40-97</t>
  </si>
  <si>
    <t>SIGAP-098</t>
  </si>
  <si>
    <r>
      <rPr>
        <sz val="10"/>
        <color theme="1"/>
        <rFont val="Calibri"/>
        <charset val="134"/>
      </rPr>
      <t xml:space="preserve">La Chorrera - Manchón Guamuchal </t>
    </r>
    <r>
      <rPr>
        <sz val="10"/>
        <color indexed="10"/>
        <rFont val="Calibri"/>
        <charset val="134"/>
      </rPr>
      <t>**</t>
    </r>
  </si>
  <si>
    <t>Retalhuleu; Ocos</t>
  </si>
  <si>
    <t>Retalhuleu; San Marcos</t>
  </si>
  <si>
    <t>Resolución SE-CONAP 107/98</t>
  </si>
  <si>
    <t>Tamashán, S. A.</t>
  </si>
  <si>
    <t>SIGAP-099</t>
  </si>
  <si>
    <t>Quetzaltenango - Saqbé</t>
  </si>
  <si>
    <t>Resolución SE-CONAP  22-98/ Resolución 106-2017</t>
  </si>
  <si>
    <t>Muncipalidad de Quetzaltenango</t>
  </si>
  <si>
    <t>SIGAP-100</t>
  </si>
  <si>
    <t>Volcán y Laguna de Ipala</t>
  </si>
  <si>
    <t>Ipala; Agua Blanca</t>
  </si>
  <si>
    <t>Chiquimula; Jutiapa</t>
  </si>
  <si>
    <t>Dec.Leg. 7-98, Resolución CONAP 47-98</t>
  </si>
  <si>
    <t>CONAP / ADISO</t>
  </si>
  <si>
    <t>Resolución SE-CONAP ALC/35-2001</t>
  </si>
  <si>
    <t>2001-2005</t>
  </si>
  <si>
    <t>Dec.Leg. 7-98 y Plan Maestro vigente.</t>
  </si>
  <si>
    <t>El Decreto 7-98 describe la zonificación e indica que la delimitación de la zonificación se precisará en el Plan Maestro.</t>
  </si>
  <si>
    <t>SIGAP-101</t>
  </si>
  <si>
    <t>K'antí Shul</t>
  </si>
  <si>
    <t>San Pedro Carchá</t>
  </si>
  <si>
    <t>Resolución SE-CONAP 62-99</t>
  </si>
  <si>
    <t>Las Alturas, S. A.</t>
  </si>
  <si>
    <t>Resolución SE-CONAP 330/2007</t>
  </si>
  <si>
    <t>Zonificado?</t>
  </si>
  <si>
    <t>Coordenadas de delimitación presentadas por el usuario.</t>
  </si>
  <si>
    <t>SIGAP-102</t>
  </si>
  <si>
    <t>Pampojilá Peña Flor</t>
  </si>
  <si>
    <t>Resolución SE-CONAP 048-99</t>
  </si>
  <si>
    <t>s.f.</t>
  </si>
  <si>
    <t>Pampojilá, S.A y La Comunidad, S:A</t>
  </si>
  <si>
    <t>Resolución SE-CONAP 48-99</t>
  </si>
  <si>
    <t>SIGAP-103</t>
  </si>
  <si>
    <t>Volcán de Suchitán</t>
  </si>
  <si>
    <t>Parque Regional y Área Natural Recreativa</t>
  </si>
  <si>
    <t>Santa Catarina Mita</t>
  </si>
  <si>
    <t>Ac.Gub. 21-06-56. Dec.Leg. 4-89, Decreto Legislativo 50-99</t>
  </si>
  <si>
    <t>Resolución SE-CONAP   SEJ. 395/2008</t>
  </si>
  <si>
    <t>Decreto 50-99</t>
  </si>
  <si>
    <t>No hay restricciones en el Decreto 50-99 acerca de la zonificación y sus posibles modificaciones.</t>
  </si>
  <si>
    <t>SIGAP-104</t>
  </si>
  <si>
    <t>Astillero Municipal de Tecpán</t>
  </si>
  <si>
    <t>Resolución SE-CONAP 19/2000</t>
  </si>
  <si>
    <t>Municipalidad de Tecpán</t>
  </si>
  <si>
    <t>SIGAP-105</t>
  </si>
  <si>
    <t>Chinajux y Sechinaux</t>
  </si>
  <si>
    <t>Resolución SE-CONAP 080/2000</t>
  </si>
  <si>
    <t>Asociación Amigos del Bosque</t>
  </si>
  <si>
    <t>SIGAP-106</t>
  </si>
  <si>
    <t>Santa Isabel</t>
  </si>
  <si>
    <t>Pueblo Nuevo Viñas</t>
  </si>
  <si>
    <t>Resolución SE-CONAP 009/2000</t>
  </si>
  <si>
    <t>Jinayá, S. A.</t>
  </si>
  <si>
    <t>Resolución SE-CONAP 316/2007</t>
  </si>
  <si>
    <t>SIGAP-107</t>
  </si>
  <si>
    <t>Bandurria</t>
  </si>
  <si>
    <t>Nueva Concepción</t>
  </si>
  <si>
    <t>Resolución SE-CONAP 044/2001</t>
  </si>
  <si>
    <t>Rodrigo Beltranena Orive</t>
  </si>
  <si>
    <t>SIGAP-108</t>
  </si>
  <si>
    <t>Cerro Verde</t>
  </si>
  <si>
    <t>Purulhá</t>
  </si>
  <si>
    <t>Resolución SE-CONAP 107/2001</t>
  </si>
  <si>
    <t>Hector Miguel Cifuentes</t>
  </si>
  <si>
    <t>SIGAP-109</t>
  </si>
  <si>
    <t>Chajumpec</t>
  </si>
  <si>
    <t>Resolución SE-CONAP 062/2001</t>
  </si>
  <si>
    <t>Jaime F. Hazard Chocano</t>
  </si>
  <si>
    <t>SIGAP-110</t>
  </si>
  <si>
    <t>Chusita</t>
  </si>
  <si>
    <t>Patulul</t>
  </si>
  <si>
    <t>Suchitepéquez</t>
  </si>
  <si>
    <t>Resolución SE-CONAP 058/2001</t>
  </si>
  <si>
    <t>Joseph Andy Burge House</t>
  </si>
  <si>
    <t>SIGAP-111</t>
  </si>
  <si>
    <t>El Ciruelo, Country Delight</t>
  </si>
  <si>
    <t>Resolución SE-CONAP 106/2001</t>
  </si>
  <si>
    <t>Zenia Lissette Marroquin Rojas</t>
  </si>
  <si>
    <t>Resolución SE-CONAP 327/2007</t>
  </si>
  <si>
    <t>SIGAP-112</t>
  </si>
  <si>
    <t>El Retiro</t>
  </si>
  <si>
    <t>Pochuta</t>
  </si>
  <si>
    <t>Resolución SE-CONAP 059/2001</t>
  </si>
  <si>
    <t>Enrique Rodriguez</t>
  </si>
  <si>
    <t>SIGAP-113</t>
  </si>
  <si>
    <t>El Vesubio</t>
  </si>
  <si>
    <t>Resolución SE-CONAP 057/2001</t>
  </si>
  <si>
    <t>SIGAP-114</t>
  </si>
  <si>
    <t>Entre Ríos</t>
  </si>
  <si>
    <t>Resolución SE-CONAP 063/2001</t>
  </si>
  <si>
    <t xml:space="preserve">Resolución  SE-CONAP 329/2007 </t>
  </si>
  <si>
    <t>SIGAP-115</t>
  </si>
  <si>
    <t>Hacienda Pastores</t>
  </si>
  <si>
    <t>San Jerónimo</t>
  </si>
  <si>
    <t>Resolución SE-CONAP 111/2001</t>
  </si>
  <si>
    <t>Julio Roberto Gularte Estrada</t>
  </si>
  <si>
    <t>SIGAP-116</t>
  </si>
  <si>
    <t>La Vega del Zope</t>
  </si>
  <si>
    <t>Chinique</t>
  </si>
  <si>
    <t>Resolución SE-CONAP 038/2001</t>
  </si>
  <si>
    <t>Municipalidad de Chinique</t>
  </si>
  <si>
    <t>Resolución SE-CONAP 247/2010</t>
  </si>
  <si>
    <t>SIGAP-117</t>
  </si>
  <si>
    <t>Las Maravillas</t>
  </si>
  <si>
    <t>Chicacao</t>
  </si>
  <si>
    <t>Resolución SE-CONAP 035/2001</t>
  </si>
  <si>
    <t>Jorge Alberto Hasted Villagrán</t>
  </si>
  <si>
    <t>SIGAP-118</t>
  </si>
  <si>
    <t>Los Andes</t>
  </si>
  <si>
    <t>Patulul, Santa Bárbara</t>
  </si>
  <si>
    <t>Resolución SE-CONAP 061/2001</t>
  </si>
  <si>
    <t>James E. Hazard</t>
  </si>
  <si>
    <t>Reserva de Uso Múltiple Cuenca del Lago Atitlán - parcial</t>
  </si>
  <si>
    <t>SIGAP-119</t>
  </si>
  <si>
    <t>Los Castaños</t>
  </si>
  <si>
    <t>Resolución SE-CONAP 054/2001</t>
  </si>
  <si>
    <t>Florencio Abascal</t>
  </si>
  <si>
    <t>SIGAP-120</t>
  </si>
  <si>
    <t>Los Tarrales</t>
  </si>
  <si>
    <t>Resolución SE-CONAP 060/2001</t>
  </si>
  <si>
    <t>Joseph A. Burge House</t>
  </si>
  <si>
    <t>SIGAP-121</t>
  </si>
  <si>
    <t>María del Mar</t>
  </si>
  <si>
    <t>Resolución SE-CONAP 052/2001</t>
  </si>
  <si>
    <t>Javier Abascal</t>
  </si>
  <si>
    <t>SIGAP-122</t>
  </si>
  <si>
    <t>Medio Día</t>
  </si>
  <si>
    <t>El Tumbador, Nuevo Progreso</t>
  </si>
  <si>
    <t>Resolución SE-CONAP 045/2001</t>
  </si>
  <si>
    <t>Agrícola Café de Medio Día, S.A.</t>
  </si>
  <si>
    <t>Resolución SE-CONAP 377/2008</t>
  </si>
  <si>
    <t>SIGAP-123</t>
  </si>
  <si>
    <t>Milán y Anexos</t>
  </si>
  <si>
    <t>Santiago Atitlán, San Pedro</t>
  </si>
  <si>
    <t>Resolución SE-CONAP 036/2001                 Ampliación del Registro Resolución SE-CONAP 309/2015</t>
  </si>
  <si>
    <t xml:space="preserve">Modificada de 821.41 a 841.41 14/07/2015. Resolución SE-CONAP 309/2015 </t>
  </si>
  <si>
    <t>SIGAP-124</t>
  </si>
  <si>
    <t>Montebello</t>
  </si>
  <si>
    <t>Carlos Adán Moino Dubón</t>
  </si>
  <si>
    <t>SIGAP-125</t>
  </si>
  <si>
    <t>Posada Montaña del Quetzal</t>
  </si>
  <si>
    <t>Salamá</t>
  </si>
  <si>
    <t>Resolución SE-CONAP 110/2001</t>
  </si>
  <si>
    <t>Mario Raul Lemus Gordillo</t>
  </si>
  <si>
    <t>Resolución SE-CONAP 332/2007</t>
  </si>
  <si>
    <t>SIGAP-126</t>
  </si>
  <si>
    <t>Ram Tzul</t>
  </si>
  <si>
    <t>Resolución SE-CONAP 109/2001</t>
  </si>
  <si>
    <t>Aura Ileana Gordillo Sagastume de Figueroa</t>
  </si>
  <si>
    <t>Resolución SE-CONAP 344/2007</t>
  </si>
  <si>
    <t>SIGAP-128</t>
  </si>
  <si>
    <t>Tapón Creek</t>
  </si>
  <si>
    <t>Resolución SE-CONAP 151/2001</t>
  </si>
  <si>
    <t>Jose Manuel Herrarte Orantes</t>
  </si>
  <si>
    <r>
      <rPr>
        <sz val="8"/>
        <rFont val="Calibri"/>
        <charset val="134"/>
      </rPr>
      <t xml:space="preserve">Área de Uso Múltiple Río Sarstún </t>
    </r>
    <r>
      <rPr>
        <sz val="8"/>
        <color rgb="FFFF0000"/>
        <rFont val="Calibri"/>
        <charset val="134"/>
      </rPr>
      <t>**</t>
    </r>
  </si>
  <si>
    <t>SIGAP-129</t>
  </si>
  <si>
    <t>Buenos Aires</t>
  </si>
  <si>
    <t>Resolución SE-CONAP 160/2002</t>
  </si>
  <si>
    <t>Agroindustrias GM S.A.</t>
  </si>
  <si>
    <t>Resolución SE-CONAP 201/2011</t>
  </si>
  <si>
    <t>SIGAP-130</t>
  </si>
  <si>
    <t>Candilejas</t>
  </si>
  <si>
    <t>Resolución SE-CONAP 32/2002</t>
  </si>
  <si>
    <t>Boris Leonel Herrarte Orantes</t>
  </si>
  <si>
    <t>Área de Uso Múltiple Río Sarstún **</t>
  </si>
  <si>
    <t>SIGAP-131</t>
  </si>
  <si>
    <t>Cástulo</t>
  </si>
  <si>
    <t>Resolución SE-CONAP 12/2002</t>
  </si>
  <si>
    <t>María Antonieta Herrarte Orantes</t>
  </si>
  <si>
    <t>Resolución SE-CONAP 343/2007</t>
  </si>
  <si>
    <t>Área de Uso Múltiple Río Sarstún ** - parcial</t>
  </si>
  <si>
    <t>SIGAP-132</t>
  </si>
  <si>
    <t>Chelemha</t>
  </si>
  <si>
    <t>San Miguel Tucurú</t>
  </si>
  <si>
    <t>Resolución SE-CONAP 127/2002</t>
  </si>
  <si>
    <t>Armin Martin Schumacher Markus Alois Reinhard</t>
  </si>
  <si>
    <t>SIGAP-133</t>
  </si>
  <si>
    <t>Chicacnab</t>
  </si>
  <si>
    <t>San Juan Chamelco</t>
  </si>
  <si>
    <t>Resolución SE-CONAP 122/2002</t>
  </si>
  <si>
    <t>Asociación BIDAS</t>
  </si>
  <si>
    <t>SIGAP-134</t>
  </si>
  <si>
    <t>Concepción Chuitó</t>
  </si>
  <si>
    <t>Pastores</t>
  </si>
  <si>
    <t>Sacatepéquez</t>
  </si>
  <si>
    <t>Resolución SE-CONAP 151/2002</t>
  </si>
  <si>
    <t>REPORSA S.A.</t>
  </si>
  <si>
    <t>Resolución SE-CONAP 371/2008</t>
  </si>
  <si>
    <t>SIGAP-135</t>
  </si>
  <si>
    <t>Corral Viejo</t>
  </si>
  <si>
    <t>Palencia</t>
  </si>
  <si>
    <t>Resolución SE-CONAP 62/2002</t>
  </si>
  <si>
    <t>Jose Enrique Mendez Colom</t>
  </si>
  <si>
    <t>Resolución SE-CONAP 289/2007</t>
  </si>
  <si>
    <t>SIGAP-136</t>
  </si>
  <si>
    <t>Las Cuevas</t>
  </si>
  <si>
    <t>Resolución SE-CONAP 16/2002</t>
  </si>
  <si>
    <t>Ingrid Marlene Herrarte Orantes</t>
  </si>
  <si>
    <t>SIGAP-137</t>
  </si>
  <si>
    <t>Las Palmas</t>
  </si>
  <si>
    <t>Resolución SE-CONAP 09/2002</t>
  </si>
  <si>
    <t>Alfred Botschi Gander</t>
  </si>
  <si>
    <t>SIGAP-138</t>
  </si>
  <si>
    <t>Matriz Chocón</t>
  </si>
  <si>
    <t>Resolución SE-CONAP 03/2002</t>
  </si>
  <si>
    <t>Resolución SE-CONAP 346/2007</t>
  </si>
  <si>
    <t>SIGAP-139</t>
  </si>
  <si>
    <t>Ona</t>
  </si>
  <si>
    <t>El Quetzal</t>
  </si>
  <si>
    <t>Resolución SE-CONAP 38/2002 y 147/2014</t>
  </si>
  <si>
    <t>ONA S.A.</t>
  </si>
  <si>
    <t>3252-2001</t>
  </si>
  <si>
    <t>SIGAP-140</t>
  </si>
  <si>
    <t>Quebrada Azul</t>
  </si>
  <si>
    <t>Resolución SE-CONAP 11/2002</t>
  </si>
  <si>
    <r>
      <rPr>
        <sz val="8"/>
        <rFont val="Calibri"/>
        <charset val="134"/>
      </rPr>
      <t xml:space="preserve">Área de Uso Múltiple Río Sarstún </t>
    </r>
    <r>
      <rPr>
        <sz val="8"/>
        <color rgb="FFFF0000"/>
        <rFont val="Calibri"/>
        <charset val="134"/>
      </rPr>
      <t>**</t>
    </r>
    <r>
      <rPr>
        <sz val="8"/>
        <rFont val="Calibri"/>
        <charset val="134"/>
      </rPr>
      <t xml:space="preserve"> - parcial</t>
    </r>
  </si>
  <si>
    <t>SIGAP-141</t>
  </si>
  <si>
    <t>Río Azul</t>
  </si>
  <si>
    <t>Resolución SE-CONAP 18/2002</t>
  </si>
  <si>
    <t>Resolución SE-CONAP 290/2007</t>
  </si>
  <si>
    <t>SIGAP-142</t>
  </si>
  <si>
    <t>Resolución SE-CONAP 14/2002</t>
  </si>
  <si>
    <t>Resolución SE-CONAP 345/2007</t>
  </si>
  <si>
    <t>SIGAP-143</t>
  </si>
  <si>
    <t>Yaxhá</t>
  </si>
  <si>
    <t>Flores</t>
  </si>
  <si>
    <t>Resolución SE-CONAP 137/2002</t>
  </si>
  <si>
    <t>Rodrigo Ibarguen Castillo</t>
  </si>
  <si>
    <t>Resolución SE-CONAP 331/2007</t>
  </si>
  <si>
    <r>
      <rPr>
        <sz val="8"/>
        <color theme="1"/>
        <rFont val="Calibri"/>
        <charset val="134"/>
      </rPr>
      <t xml:space="preserve">Parque Nacional Yaxhá - Nakúm - Naranjo </t>
    </r>
    <r>
      <rPr>
        <sz val="8"/>
        <color rgb="FFFF0000"/>
        <rFont val="Calibri"/>
        <charset val="134"/>
      </rPr>
      <t>**</t>
    </r>
  </si>
  <si>
    <t>SIGAP-144</t>
  </si>
  <si>
    <t>Zavala</t>
  </si>
  <si>
    <t>Resolución SE-CONAP 10/2002 y 290/2012</t>
  </si>
  <si>
    <t>José Manuel Herrarte Orantes</t>
  </si>
  <si>
    <t>SIGAP-145</t>
  </si>
  <si>
    <t>Cascadas de Tatasirire</t>
  </si>
  <si>
    <t>Resolución SE-CONAP 101/2003</t>
  </si>
  <si>
    <t>Elsa Marina Elias</t>
  </si>
  <si>
    <t>SIGAP-146</t>
  </si>
  <si>
    <t>Montaña Chiclera</t>
  </si>
  <si>
    <t>Resolución SE-CONAP 77/2003</t>
  </si>
  <si>
    <t>Municipalidad de Morales</t>
  </si>
  <si>
    <t>SIGAP-147</t>
  </si>
  <si>
    <t>Niño Dormido</t>
  </si>
  <si>
    <t>Cabañas</t>
  </si>
  <si>
    <t>Resolución SE-CONAP 228/2003</t>
  </si>
  <si>
    <t>Municipalidad  de Cabañas</t>
  </si>
  <si>
    <t>SIGAP-148</t>
  </si>
  <si>
    <t>Dulce Nombre</t>
  </si>
  <si>
    <t>Taxisco</t>
  </si>
  <si>
    <t>Resolución SE-CONAP 171/2004; SE-CONAP 369/214 ampliación</t>
  </si>
  <si>
    <t>Ixakel Sociedad Anonima</t>
  </si>
  <si>
    <t>Resolución SE-CONAP 318/2007</t>
  </si>
  <si>
    <t>SIGAP-149</t>
  </si>
  <si>
    <t>Las Flores</t>
  </si>
  <si>
    <t>Río Hondo</t>
  </si>
  <si>
    <t>Resolución SE-CONAP 170/2004</t>
  </si>
  <si>
    <t>Juna Ramon Paz Ramirez</t>
  </si>
  <si>
    <t>SIGAP-150</t>
  </si>
  <si>
    <t>Las Nubes</t>
  </si>
  <si>
    <t>San Francisco Zapotitlán</t>
  </si>
  <si>
    <t>Resolución SE-CONAP 125/2004</t>
  </si>
  <si>
    <t>Adolfo José Ramon Boppel Carrera</t>
  </si>
  <si>
    <t>SIGAP-151</t>
  </si>
  <si>
    <t>Los Cerritos - El Portezuelo</t>
  </si>
  <si>
    <t>Resolución SE-CONAP 047/2004</t>
  </si>
  <si>
    <t>Municipalidad de Salamá, FUNDEMABV</t>
  </si>
  <si>
    <t>Resolución SE-CONAP 376/2007</t>
  </si>
  <si>
    <t>SIGAP-153</t>
  </si>
  <si>
    <t>K'ojlab'l Tze´ te Tnom Todos Santos Cuchumatán</t>
  </si>
  <si>
    <t>Todos Santos Cuchumatanes</t>
  </si>
  <si>
    <t>Huehuetenango</t>
  </si>
  <si>
    <r>
      <rPr>
        <sz val="10"/>
        <color theme="1"/>
        <rFont val="Calibri"/>
        <charset val="134"/>
      </rPr>
      <t xml:space="preserve">Resolución SE-CONAP 153/2004, 014/2009 </t>
    </r>
    <r>
      <rPr>
        <sz val="10"/>
        <rFont val="Calibri"/>
        <charset val="134"/>
      </rPr>
      <t>y 03/2010</t>
    </r>
  </si>
  <si>
    <t>Municipalidad de Todos Santos Cuchumatan</t>
  </si>
  <si>
    <t>Resolución SE-CONAP 275/2015</t>
  </si>
  <si>
    <t>2015-2019</t>
  </si>
  <si>
    <t>0480/2003</t>
  </si>
  <si>
    <t>SIGAP-154</t>
  </si>
  <si>
    <t>Monte Alto</t>
  </si>
  <si>
    <t>Morazán</t>
  </si>
  <si>
    <t>Resolución SE-CONAP 007/2005</t>
  </si>
  <si>
    <t>Elsa Sofía Marroquín Schwendener</t>
  </si>
  <si>
    <t>SIGAP-155</t>
  </si>
  <si>
    <r>
      <rPr>
        <sz val="10"/>
        <rFont val="Calibri"/>
        <charset val="134"/>
      </rPr>
      <t xml:space="preserve">Río Sarstun </t>
    </r>
    <r>
      <rPr>
        <sz val="12"/>
        <color indexed="10"/>
        <rFont val="Calibri"/>
        <charset val="134"/>
      </rPr>
      <t>**</t>
    </r>
    <r>
      <rPr>
        <sz val="10"/>
        <rFont val="Calibri"/>
        <charset val="134"/>
      </rPr>
      <t xml:space="preserve">                               </t>
    </r>
  </si>
  <si>
    <t xml:space="preserve">Decreto No. 12-2005 </t>
  </si>
  <si>
    <t>Decreto 12-2005</t>
  </si>
  <si>
    <t>Decreto 12-2005 y Plan Maestro vigente</t>
  </si>
  <si>
    <t>El Decreto 12-2005 indica que Plan Maestro puede modificar zonificación máximo 5% de Zona Intangible y Forestal original. No hay coordenadas para Z.Primitiva ni ZAM, solo indicaciones, por lo que habrá que referirse a Plan Maestro para ellas.</t>
  </si>
  <si>
    <t>SIGAP-156</t>
  </si>
  <si>
    <r>
      <rPr>
        <sz val="10"/>
        <rFont val="Calibri"/>
        <charset val="134"/>
      </rPr>
      <t xml:space="preserve">Punta de Manabique </t>
    </r>
    <r>
      <rPr>
        <sz val="12"/>
        <color indexed="10"/>
        <rFont val="Calibri"/>
        <charset val="134"/>
      </rPr>
      <t>**</t>
    </r>
  </si>
  <si>
    <t xml:space="preserve"> Izabal</t>
  </si>
  <si>
    <t xml:space="preserve">Decreto No. 023-2005 </t>
  </si>
  <si>
    <t>Resolución SE-CONAP 130/2007</t>
  </si>
  <si>
    <t>Decreto 23-2005</t>
  </si>
  <si>
    <t>Decreto 23-2005 y Plan Maestro vigente</t>
  </si>
  <si>
    <t>El Decreto 23-2005 indica que zona marina hacia Mar Caribe consiste en "Mar Territorial de Guatemala", no establece coordenadas para zonificación, solamente indicaciones, por lo que habrá que referirse a Plan Maestro.</t>
  </si>
  <si>
    <t>SIGAP-157</t>
  </si>
  <si>
    <t xml:space="preserve">Semuc Champey                      </t>
  </si>
  <si>
    <t>Monumento Natural</t>
  </si>
  <si>
    <t xml:space="preserve">Decreto No. 025-2005 </t>
  </si>
  <si>
    <t xml:space="preserve">Decreto 25-2005 </t>
  </si>
  <si>
    <t>Decreto 25-2005</t>
  </si>
  <si>
    <t>El Decreto 25-2005 establece que el CONAP puede modificar la Zonificación una sola vez mediante la formulación del Plan Maestro.</t>
  </si>
  <si>
    <t>SIGAP-158</t>
  </si>
  <si>
    <t>San Lucas Secanté</t>
  </si>
  <si>
    <t>Reserva Forestal Municipal</t>
  </si>
  <si>
    <t>Chahal</t>
  </si>
  <si>
    <t>Resolución SE-CONAP 004/2005</t>
  </si>
  <si>
    <t>Municipalidad de Chahal, Alta Verapaz</t>
  </si>
  <si>
    <t>SIGAP-159</t>
  </si>
  <si>
    <t>San Agustin Chahal</t>
  </si>
  <si>
    <t>Resolución SE-CONAP 005/2005</t>
  </si>
  <si>
    <t>SIGAP-160</t>
  </si>
  <si>
    <t>Las Conchas</t>
  </si>
  <si>
    <t>Parque Recreativo Natural Municipal</t>
  </si>
  <si>
    <t>Resolución SE-CONAP 006/2005</t>
  </si>
  <si>
    <t>SIGAP-161</t>
  </si>
  <si>
    <t>Cerro de Jesús</t>
  </si>
  <si>
    <t>El Jícaro</t>
  </si>
  <si>
    <t>Resolución SE-CONAP 058/2005</t>
  </si>
  <si>
    <t>Municipalidad del El Jícaro, El Progreso</t>
  </si>
  <si>
    <t>SIGAP-162</t>
  </si>
  <si>
    <t>Manila</t>
  </si>
  <si>
    <t>Nuevo Progreso</t>
  </si>
  <si>
    <t>Resolución SE-CONAP 170/2005</t>
  </si>
  <si>
    <t>Manila S.A.</t>
  </si>
  <si>
    <t>SIGAP-163</t>
  </si>
  <si>
    <t>Laguna Perdida</t>
  </si>
  <si>
    <t>Resolución SE-CONAP 001/2006</t>
  </si>
  <si>
    <t>Francisco Lima Pineda</t>
  </si>
  <si>
    <t>SIGAP-164</t>
  </si>
  <si>
    <t>El Naranjo</t>
  </si>
  <si>
    <t>Resolución SE-CONAP 104/2006</t>
  </si>
  <si>
    <t>Nelly Gass Bricka</t>
  </si>
  <si>
    <t>SIGAP-165</t>
  </si>
  <si>
    <t>Biotopín</t>
  </si>
  <si>
    <t>Purulhá, Baja Verapaz</t>
  </si>
  <si>
    <t>Resolución SE-CONAP 105/2006</t>
  </si>
  <si>
    <t>Bonafide S.A.</t>
  </si>
  <si>
    <t>SIGAP-166</t>
  </si>
  <si>
    <t>Pataxte</t>
  </si>
  <si>
    <t>Resolución SE-CONAP 076/2006</t>
  </si>
  <si>
    <t>Inversiones de Desarrollo S.A.</t>
  </si>
  <si>
    <t>Reserva de Biósfera Sierra de las Minas - parcial</t>
  </si>
  <si>
    <t>SIGAP-167</t>
  </si>
  <si>
    <t>Chabiland Cerro</t>
  </si>
  <si>
    <t>Resolución SE-CONAP 082/2006</t>
  </si>
  <si>
    <t>SIGAP-168</t>
  </si>
  <si>
    <t>Chabiland Esquina</t>
  </si>
  <si>
    <t>Resolución SE-CONAP 083/2007</t>
  </si>
  <si>
    <t>SIGAP-169</t>
  </si>
  <si>
    <t>Río Zarco Chiquito</t>
  </si>
  <si>
    <t>Resolución SE-CONAP 093/2006</t>
  </si>
  <si>
    <t>SIGAP-170</t>
  </si>
  <si>
    <t>San Bernardino E.C.A. Xejuyu</t>
  </si>
  <si>
    <t>Pochuta, Patzún</t>
  </si>
  <si>
    <t>Resolución SE-CONAP 094/2006</t>
  </si>
  <si>
    <t>Mario Sicay Sulugui</t>
  </si>
  <si>
    <t>Resolución SE-CONAP 392/2007</t>
  </si>
  <si>
    <t>SIGAP-171</t>
  </si>
  <si>
    <t>Antigua Estancia de los Leones</t>
  </si>
  <si>
    <t xml:space="preserve">Resolución SE-CONAP 133/2006 </t>
  </si>
  <si>
    <t>Carolina Marroquín Schwendener De Molina</t>
  </si>
  <si>
    <t>SIGAP-172</t>
  </si>
  <si>
    <t>El Roble</t>
  </si>
  <si>
    <t>Resolución SE-CONAP 134/2006</t>
  </si>
  <si>
    <t>Chin-Hsuan Yen Wu</t>
  </si>
  <si>
    <t>SIGAP-173</t>
  </si>
  <si>
    <t>Los Alpes</t>
  </si>
  <si>
    <t>Resolución SE-CONAP 135/2006</t>
  </si>
  <si>
    <t>Blanca Alicia Marroquin Schwendener</t>
  </si>
  <si>
    <t>SIGAP-174</t>
  </si>
  <si>
    <t>Selempin</t>
  </si>
  <si>
    <t>Resolución SE-CONAP 143/2006</t>
  </si>
  <si>
    <t>SIGAP-175</t>
  </si>
  <si>
    <t>Astillero Municipal 1 y 2 de San Pedro Sacatepequez San Marcos</t>
  </si>
  <si>
    <t>San Pedro Sacatepéquez</t>
  </si>
  <si>
    <t>Resolución SE-CONAP 144/2006</t>
  </si>
  <si>
    <t>Municipalidad de San Pedro Sacatepequez, San Marcos</t>
  </si>
  <si>
    <t>Resolución SE-CONAP 251/2015</t>
  </si>
  <si>
    <t>SIGAP-176</t>
  </si>
  <si>
    <t>Astillero Municipal de San Marcos</t>
  </si>
  <si>
    <t>Resolución SE-CONAP 146/2006</t>
  </si>
  <si>
    <t>Municipalidad de San Marcos</t>
  </si>
  <si>
    <t>Resolución SE-CONAP 481/2014</t>
  </si>
  <si>
    <t>2014-2018</t>
  </si>
  <si>
    <t>SIGAP-177</t>
  </si>
  <si>
    <t>Lote "9"</t>
  </si>
  <si>
    <t>Resolución SE-CONAP 166/2006</t>
  </si>
  <si>
    <t>Fundación Defensores de la Naturaleza</t>
  </si>
  <si>
    <t>SIGAP-178</t>
  </si>
  <si>
    <t>La Democracia</t>
  </si>
  <si>
    <t>Resolución SE-CONAP 174/2006</t>
  </si>
  <si>
    <t>José Caal Caal</t>
  </si>
  <si>
    <t>Resolución SE-CONAP 151/2011</t>
  </si>
  <si>
    <t>Reserva de Biósfera Maya (Zona de Amortiguamiento)</t>
  </si>
  <si>
    <t>SIGAP-179</t>
  </si>
  <si>
    <t>El Pollo</t>
  </si>
  <si>
    <t>Melchor de Mencos</t>
  </si>
  <si>
    <t>Resolución SE-CONAP 175/2006</t>
  </si>
  <si>
    <t>Raul Granados España</t>
  </si>
  <si>
    <t>Resolución SE-CONAP 76/2010</t>
  </si>
  <si>
    <t>SIGAP-180</t>
  </si>
  <si>
    <t>Finca AA</t>
  </si>
  <si>
    <t>Resolución SE-CONAP 186/2006</t>
  </si>
  <si>
    <t>Alberto Girón Cabrera</t>
  </si>
  <si>
    <t>Resolución SE-CONAP 156/2010</t>
  </si>
  <si>
    <t>SIGAP-181</t>
  </si>
  <si>
    <t>Finca Chacá</t>
  </si>
  <si>
    <t>Resolución SE-CONAP 194/2006</t>
  </si>
  <si>
    <t>Carlos René Jiménez</t>
  </si>
  <si>
    <t>Resolución SE-CONAP 56/2010</t>
  </si>
  <si>
    <t>SIGAP-182</t>
  </si>
  <si>
    <t>Lo de China</t>
  </si>
  <si>
    <t>Resolución SE-CONAP 103/2006</t>
  </si>
  <si>
    <t>Municipalidad del El Jícaro</t>
  </si>
  <si>
    <t>SIGAP-183</t>
  </si>
  <si>
    <t>Peña de Angel</t>
  </si>
  <si>
    <t>Resolución SE-CONAP 203/2006</t>
  </si>
  <si>
    <t>Felix Sun</t>
  </si>
  <si>
    <t>SIGAP-184</t>
  </si>
  <si>
    <t>El Bosque</t>
  </si>
  <si>
    <t>Resolución SE-CONAP 208/2006</t>
  </si>
  <si>
    <t>Reserva de Biósfera Sierra de las Minas (Zona Núcleo)</t>
  </si>
  <si>
    <t>SIGAP-185</t>
  </si>
  <si>
    <t>Quebrada Seca</t>
  </si>
  <si>
    <t>Resolución SE-CONAP 209/2006</t>
  </si>
  <si>
    <t>Alfonso Antonio Berganza Rodríguez</t>
  </si>
  <si>
    <t>Reserva Protectora de Manantiales Cerro San Gil (Zona Núcleo y Uso Múltiple)</t>
  </si>
  <si>
    <t>SIGAP-186</t>
  </si>
  <si>
    <t>La Palmilla</t>
  </si>
  <si>
    <t>Los Amates</t>
  </si>
  <si>
    <t>Resolución SE-CONAP 210/2006</t>
  </si>
  <si>
    <t>SIGAP-187</t>
  </si>
  <si>
    <t>Montaña Larga</t>
  </si>
  <si>
    <t>Resolución SE-CONAP 211/2006</t>
  </si>
  <si>
    <t>SIGAP-188</t>
  </si>
  <si>
    <t>Resolución SE-CONAP 212/2006</t>
  </si>
  <si>
    <t>SIGAP-189</t>
  </si>
  <si>
    <t>San Isidro</t>
  </si>
  <si>
    <t>Resolución SE-CONAP 213/2006</t>
  </si>
  <si>
    <t>SIGAP-190</t>
  </si>
  <si>
    <t>Concepción</t>
  </si>
  <si>
    <t>Resolución SE-CONAP 216/2006</t>
  </si>
  <si>
    <t>SIGAP-191</t>
  </si>
  <si>
    <t>Luisiana</t>
  </si>
  <si>
    <t>Morazán, San Agustín Acasaguastlán</t>
  </si>
  <si>
    <t>Resolución SE-CONAP 219/2006</t>
  </si>
  <si>
    <t>SIGAP-192</t>
  </si>
  <si>
    <t>Reserva Santuario de las Aves</t>
  </si>
  <si>
    <t>Resolución SE-CONAP 220/2006</t>
  </si>
  <si>
    <t>Fundación para el Ecodesarrollo y la Conservación FUNDAECO</t>
  </si>
  <si>
    <t>SIGAP-193</t>
  </si>
  <si>
    <t>Río Bonito</t>
  </si>
  <si>
    <t>Resolución SE-CONAP 221/2006 y 327/2010</t>
  </si>
  <si>
    <t>SIGAP-194</t>
  </si>
  <si>
    <t>Xecanac</t>
  </si>
  <si>
    <t>Resolución SE-CONAP 234/2006</t>
  </si>
  <si>
    <t>Marco Quiñónez</t>
  </si>
  <si>
    <t>SIGAP-195</t>
  </si>
  <si>
    <t>Santa Catalina y Anexo Joya Carbonera</t>
  </si>
  <si>
    <t>San Miguel Dueñas</t>
  </si>
  <si>
    <t>Resolución SE-CONAP 108/2006</t>
  </si>
  <si>
    <t>Pedro Echeverría Falla</t>
  </si>
  <si>
    <t>SIGAP-196</t>
  </si>
  <si>
    <t>Finca La Bohemia</t>
  </si>
  <si>
    <t>Nuevo Palmar</t>
  </si>
  <si>
    <t>Resolución SE-CONAP 244/2006</t>
  </si>
  <si>
    <t>Plantaciones y Turismo, S.A.</t>
  </si>
  <si>
    <t>SIGAP-197</t>
  </si>
  <si>
    <t>Lote 8</t>
  </si>
  <si>
    <t>Resolución SE-CONAP 215/2006</t>
  </si>
  <si>
    <t>SIGAP-198</t>
  </si>
  <si>
    <t>Lote 10</t>
  </si>
  <si>
    <t>Resolución SE-CONAP 217/2006</t>
  </si>
  <si>
    <t>SIGAP-199</t>
  </si>
  <si>
    <t>Lote 11</t>
  </si>
  <si>
    <t>Resolución SE-CONAP 218/2006</t>
  </si>
  <si>
    <t>SIGAP-200</t>
  </si>
  <si>
    <t>Lote 6</t>
  </si>
  <si>
    <t>Resolución SE-CONAP 214/2006</t>
  </si>
  <si>
    <t>SIGAP-201</t>
  </si>
  <si>
    <t>Finca Fernando Paiz</t>
  </si>
  <si>
    <t>Resolución SE-CONAP 262/2006</t>
  </si>
  <si>
    <t>Fernando de Jesús Paiz Leonardo</t>
  </si>
  <si>
    <t>Resolución SE-CONAP 231/2009</t>
  </si>
  <si>
    <t>No hay copia del Plan Maestro en el DUC? Solo copia en físico.</t>
  </si>
  <si>
    <t>SIGAP-202</t>
  </si>
  <si>
    <t>Monte María</t>
  </si>
  <si>
    <t>Resolución SE-CONAP 001/2007</t>
  </si>
  <si>
    <t>José Gonzalo Rosado Pinelo</t>
  </si>
  <si>
    <t>Resolución SE-CONAP 190/2011</t>
  </si>
  <si>
    <r>
      <rPr>
        <sz val="10"/>
        <color theme="1"/>
        <rFont val="Calibri"/>
        <charset val="134"/>
      </rPr>
      <t xml:space="preserve">La zonificación solo se describe y se presenta en mapa. </t>
    </r>
    <r>
      <rPr>
        <sz val="10"/>
        <color rgb="FFFF0000"/>
        <rFont val="Calibri"/>
        <charset val="134"/>
      </rPr>
      <t>No incluye coordenadas específicas de zonificación.</t>
    </r>
  </si>
  <si>
    <t>SIGAP-203</t>
  </si>
  <si>
    <t>Finca San José</t>
  </si>
  <si>
    <t>Resolución SE-CONAP 015/2007</t>
  </si>
  <si>
    <t>José Chub y Cristina Ché</t>
  </si>
  <si>
    <t>SIGAP-205</t>
  </si>
  <si>
    <t>Finca Los Cedros</t>
  </si>
  <si>
    <t>Resolución SE-CONAP 046/2007</t>
  </si>
  <si>
    <t>Agropecuaria Los Cedros</t>
  </si>
  <si>
    <t>SIGAP-206</t>
  </si>
  <si>
    <t>Finca La Travesía</t>
  </si>
  <si>
    <t>Resolución SE-CONAP 47/2007</t>
  </si>
  <si>
    <t>Agricola Travesia. S. A</t>
  </si>
  <si>
    <t>SIGAP-207</t>
  </si>
  <si>
    <t>Finca Asturias</t>
  </si>
  <si>
    <t>Zunil, San Felipe, Pueblo Nuevo</t>
  </si>
  <si>
    <t>Quetzaltenango, Retalhuleu, Suchitepéquez</t>
  </si>
  <si>
    <t>Resolución  SE-CONAP 083/2007</t>
  </si>
  <si>
    <t>Plantaciones Asturias, S.A.</t>
  </si>
  <si>
    <t>SIGAP-208</t>
  </si>
  <si>
    <t>Finca La Gloria</t>
  </si>
  <si>
    <t>San Miguel Uspantán</t>
  </si>
  <si>
    <t>Resolución  SE-CONAP 063/2007</t>
  </si>
  <si>
    <t>Asociacion para el Desarrollo Integral de la Gloria</t>
  </si>
  <si>
    <t>SIGAP-209</t>
  </si>
  <si>
    <t>Sibinal (Canjulá, Tacaná, Los Maijones y Tocapote)</t>
  </si>
  <si>
    <t>Sibinal</t>
  </si>
  <si>
    <t>Resolución SE-CONAP 080/2007 y Resolución SECONAP 451/2014</t>
  </si>
  <si>
    <t>Municipalidad de Sibinal, San Marcos</t>
  </si>
  <si>
    <t>Resolución SE-CONAP 453/2008</t>
  </si>
  <si>
    <t>Resolución SE-CONAP 080/2007</t>
  </si>
  <si>
    <t>SIGAP-210</t>
  </si>
  <si>
    <t>Hacienda Los Jose Luises</t>
  </si>
  <si>
    <t>Resolución SE-CONAP 069/2007</t>
  </si>
  <si>
    <t>Rosa María Aguilar Maldonado</t>
  </si>
  <si>
    <t>SIGAP-211</t>
  </si>
  <si>
    <t>El Caracol, Los Espinos, Mirasol y Tizate</t>
  </si>
  <si>
    <t>San Juan Ostuncalco</t>
  </si>
  <si>
    <t>Resolución SE-CONAP 072/2007</t>
  </si>
  <si>
    <t>Municipalidad de San Juan Ostuncalco, Quezaltenango</t>
  </si>
  <si>
    <t>Resolución SE-CONAP 114/2009</t>
  </si>
  <si>
    <t>El Plan Maestro vigente delimita una Zona de Amortiguamiento afuera del área declarada como Parque Regional Municipal. La Zonificación está ligada a los polígonos de declaratoria.</t>
  </si>
  <si>
    <t>SIGAP-212</t>
  </si>
  <si>
    <t>Chajmaik</t>
  </si>
  <si>
    <t>Resolución SE-CONAP 93/2007</t>
  </si>
  <si>
    <t>Rodrigo Erales Vides</t>
  </si>
  <si>
    <t>Reserva de Biósfera Sierra de las Minas (Zona de Amortiguamiento)</t>
  </si>
  <si>
    <t>SIGAP-213</t>
  </si>
  <si>
    <t>El Chicozapote</t>
  </si>
  <si>
    <t>Resolución SE-CONAP 095/2007</t>
  </si>
  <si>
    <t>Municipalidad de La Libertad Peten</t>
  </si>
  <si>
    <t>Resolución SE-CONAP 11/2010</t>
  </si>
  <si>
    <t>No hay copia del Plan Maestro en el DUC?</t>
  </si>
  <si>
    <t>SIGAP-214</t>
  </si>
  <si>
    <t>El Copoito</t>
  </si>
  <si>
    <t>Resolución SE-CONAP 100/2007</t>
  </si>
  <si>
    <t>SIGAP-215</t>
  </si>
  <si>
    <t>Venus Verdoso</t>
  </si>
  <si>
    <t>Resolución SE-CONAP 110/2007</t>
  </si>
  <si>
    <t>SIGAP-216</t>
  </si>
  <si>
    <t>La Unión</t>
  </si>
  <si>
    <t>Resolución SE-CONAP 104/2007</t>
  </si>
  <si>
    <t>Municipalidad de La Unión, Zacapa</t>
  </si>
  <si>
    <t>SIGAP-217</t>
  </si>
  <si>
    <t>La Aventura</t>
  </si>
  <si>
    <t>Chiquimulilla</t>
  </si>
  <si>
    <t>Resolución SE-CONAP 116/2007</t>
  </si>
  <si>
    <t>Compañía Agrícola La Aventura, S.A.</t>
  </si>
  <si>
    <t>SIGAP-218</t>
  </si>
  <si>
    <t>La Igualdad</t>
  </si>
  <si>
    <t>La Reforma</t>
  </si>
  <si>
    <t>Resolución SE-CONAP 154/2007</t>
  </si>
  <si>
    <t>Nuevos Mercados, S.A.</t>
  </si>
  <si>
    <t>SIGAP-219</t>
  </si>
  <si>
    <t>Chuna´a</t>
  </si>
  <si>
    <t>San Francisco</t>
  </si>
  <si>
    <t>Resolución SE-CONAP 167/2007</t>
  </si>
  <si>
    <t>Municipalidad de San Fracisco, Petén</t>
  </si>
  <si>
    <t>Resolución SE-CONAP 268/2010</t>
  </si>
  <si>
    <t>SIGAP-221</t>
  </si>
  <si>
    <t>Nueva Juventud</t>
  </si>
  <si>
    <t>Resolución SE-CONAP 174/2007</t>
  </si>
  <si>
    <t>Municipalidad de San Andrés, Petén</t>
  </si>
  <si>
    <t>Resolución SE-CONAP 269/2010</t>
  </si>
  <si>
    <t>La zonificación no presenta mapa ni coordenadas.</t>
  </si>
  <si>
    <t>SIGAP-222</t>
  </si>
  <si>
    <t>Santa Rosita</t>
  </si>
  <si>
    <t>Resolución SE-CONAP 180/2007</t>
  </si>
  <si>
    <t>Jorge Mario Chub Ché</t>
  </si>
  <si>
    <t>SIGAP-223</t>
  </si>
  <si>
    <t>Finca El Recuerdo</t>
  </si>
  <si>
    <t>Chicamán</t>
  </si>
  <si>
    <t>Resolución SE-CONAP 189/2007</t>
  </si>
  <si>
    <t>Julio César García Martínez</t>
  </si>
  <si>
    <t>SIGAP-224</t>
  </si>
  <si>
    <t>El Mirador</t>
  </si>
  <si>
    <t>Resolución SE-CONAP 198/2007</t>
  </si>
  <si>
    <t>Municipalidad de San Francisco, Petén</t>
  </si>
  <si>
    <t>SIGAP-225</t>
  </si>
  <si>
    <t>El Risco</t>
  </si>
  <si>
    <t>Resolución SE-CONAP 274/2007</t>
  </si>
  <si>
    <t>Orlando Schwendener</t>
  </si>
  <si>
    <t>SIGAP-226</t>
  </si>
  <si>
    <t xml:space="preserve">San Francisco de Asis </t>
  </si>
  <si>
    <t>Villa Canales</t>
  </si>
  <si>
    <t>Resolución SE-CONAP 335/2007</t>
  </si>
  <si>
    <t>Dorothy Ruth Nicol Mayorga de Powel</t>
  </si>
  <si>
    <t>SIGAP-227</t>
  </si>
  <si>
    <t>Monserrate</t>
  </si>
  <si>
    <t>San Pedro Yepocapa</t>
  </si>
  <si>
    <t>Resolución SE-CONAP 358/2007</t>
  </si>
  <si>
    <t>Raúl Antonio Hernández Alvarado</t>
  </si>
  <si>
    <t>SIGAP-228</t>
  </si>
  <si>
    <t>La ENEA</t>
  </si>
  <si>
    <t>Poptún</t>
  </si>
  <si>
    <t>Resolución SE-CONAP 364/2007</t>
  </si>
  <si>
    <t>Municipalidad de Poptún, Peten</t>
  </si>
  <si>
    <t>Resolución SE-CONAP 18/2010</t>
  </si>
  <si>
    <t>Complejos III &amp; IV del Sur de Petén</t>
  </si>
  <si>
    <t>SIGAP-229</t>
  </si>
  <si>
    <t>Astillero Cerro Nimachay</t>
  </si>
  <si>
    <t>San Bartolomé Milpas Altas</t>
  </si>
  <si>
    <t>Resolución SE-CONAP 366/2007</t>
  </si>
  <si>
    <t>Municipalidad de San Bartolome Milpas Altas, Sacatepéquez</t>
  </si>
  <si>
    <t>SIGAP-230</t>
  </si>
  <si>
    <t>San Jose Tierra Linda I, II, III</t>
  </si>
  <si>
    <t>Gualán</t>
  </si>
  <si>
    <t>Resolución SE-CONAP 377/2007</t>
  </si>
  <si>
    <t>Fernando Antonio Cordón Paz</t>
  </si>
  <si>
    <t>SIGAP-231</t>
  </si>
  <si>
    <t>La Rosita</t>
  </si>
  <si>
    <t>Resolución SE-CONAP 387/2007</t>
  </si>
  <si>
    <t xml:space="preserve">Agrícola San Isidro, S.A. </t>
  </si>
  <si>
    <t>SIGAP-232</t>
  </si>
  <si>
    <t xml:space="preserve"> Najochón</t>
  </si>
  <si>
    <t>Resolución SE-CONAP 324/2007</t>
  </si>
  <si>
    <t>SIGAP-233</t>
  </si>
  <si>
    <t xml:space="preserve">El Barretal </t>
  </si>
  <si>
    <t>Amatitlán</t>
  </si>
  <si>
    <t>Resolución SE-CONAP 328/2007</t>
  </si>
  <si>
    <t>Municipalidad de Amatitlán, Guatemala</t>
  </si>
  <si>
    <t>SIGAP-234</t>
  </si>
  <si>
    <t xml:space="preserve">Astilleros La Cumbre, El Jute y El Platanar </t>
  </si>
  <si>
    <t>Resolución SE-CONAP 338/2007</t>
  </si>
  <si>
    <t>Municipalidad de Pastores, Sacatepéquez</t>
  </si>
  <si>
    <t>SIGAP-235</t>
  </si>
  <si>
    <t>Chagüite</t>
  </si>
  <si>
    <t>Fraijanes</t>
  </si>
  <si>
    <t>Resolución SE-CONAP 308/2007</t>
  </si>
  <si>
    <t>Agropecuaria Los Cedros S.A.</t>
  </si>
  <si>
    <t>SIGAP-236</t>
  </si>
  <si>
    <t>San José El Yalú</t>
  </si>
  <si>
    <t>Sumpango</t>
  </si>
  <si>
    <t>Resolución SE-CONAP 374/2007</t>
  </si>
  <si>
    <t>Agropecuaria Los Pinos S.A.</t>
  </si>
  <si>
    <t>SIGAP-237</t>
  </si>
  <si>
    <t>Los Laureles</t>
  </si>
  <si>
    <t>Resolución SE-CONAP 007/2008</t>
  </si>
  <si>
    <t>Mario Enrique Gálvez</t>
  </si>
  <si>
    <t>SIGAP-238</t>
  </si>
  <si>
    <t>Concepcion Chiquirichapa</t>
  </si>
  <si>
    <t>Concepción Chiquirichapa</t>
  </si>
  <si>
    <t>Resolución SE-CONAP 017/2008</t>
  </si>
  <si>
    <t>Municipalidad de Concepcion Chiquirichapa, Quetzaltenango</t>
  </si>
  <si>
    <t>Resolución SE-CONAP 457/2008</t>
  </si>
  <si>
    <t>El Plan Maestro vigente delimita una Zona de Amortiguamiento afuera del área declarada como Parque Regional Municipal. No presenta coordenadas específicas para su zonificación, solamente mapa.</t>
  </si>
  <si>
    <t>SIGAP-239</t>
  </si>
  <si>
    <t>Saq Ha</t>
  </si>
  <si>
    <t>Resolución SE-CONAP 096/2008</t>
  </si>
  <si>
    <t>Angelina Bollat Hernández</t>
  </si>
  <si>
    <t>SIGAP-240</t>
  </si>
  <si>
    <t>San Sebastian</t>
  </si>
  <si>
    <t>Resolución SE-CONAP 115/2008</t>
  </si>
  <si>
    <t>Agricola Falla Arias y Compañía S.A.</t>
  </si>
  <si>
    <t>SIGAP-241</t>
  </si>
  <si>
    <t>El Bejucal</t>
  </si>
  <si>
    <t>Resolución SE-CONAP 127/2008</t>
  </si>
  <si>
    <t>Agropecuaria El Bejucal. S. A.</t>
  </si>
  <si>
    <t>SIGAP-242</t>
  </si>
  <si>
    <t>Astillero Municipal Sumpango, El Rejon, Chirres y Los Encuentros</t>
  </si>
  <si>
    <t>Resolución SE-CONAP 258/2008</t>
  </si>
  <si>
    <t>Municipalidad de Sumpango, Sacatepéquez</t>
  </si>
  <si>
    <t>SIGAP-243</t>
  </si>
  <si>
    <t>El Pujol Fracción B</t>
  </si>
  <si>
    <t>Resolución SE-CONAP 355/2008</t>
  </si>
  <si>
    <t>SIGAP-244</t>
  </si>
  <si>
    <t>Los Hornos</t>
  </si>
  <si>
    <t>Resolución SE-CONAP 365/2008</t>
  </si>
  <si>
    <t>SIGAP-245</t>
  </si>
  <si>
    <t>El Pujol fraccion C</t>
  </si>
  <si>
    <t>Resolución SE-CONAP 366/2008</t>
  </si>
  <si>
    <t>SIGAP-246</t>
  </si>
  <si>
    <t>La Joya</t>
  </si>
  <si>
    <t>Resolución SE-CONAP 367/2008</t>
  </si>
  <si>
    <t>SIGAP-247</t>
  </si>
  <si>
    <t>Finca Pujol fraccion E</t>
  </si>
  <si>
    <t>Resolución SE-CONAP 369/2008</t>
  </si>
  <si>
    <t>SIGAP-251</t>
  </si>
  <si>
    <t>La Soledad y anexos</t>
  </si>
  <si>
    <t>Acatenango</t>
  </si>
  <si>
    <t>Resolución SE-CONAP 387/2008</t>
  </si>
  <si>
    <t>Henio Raúl Pérez Meléndez</t>
  </si>
  <si>
    <t>SIGAP-253</t>
  </si>
  <si>
    <t>Finca el Porvenir</t>
  </si>
  <si>
    <t>Resolución SE-CONAP 396/2008</t>
  </si>
  <si>
    <t>Santa Victoria S.A.</t>
  </si>
  <si>
    <t>Resolución SE-CONAP 13/2011</t>
  </si>
  <si>
    <t>Una sola Zona de Manejo Sostenible para toda el área protegida.</t>
  </si>
  <si>
    <t>SIGAP-254</t>
  </si>
  <si>
    <t>Finca Los Tarros</t>
  </si>
  <si>
    <t>Santa Ana</t>
  </si>
  <si>
    <t>Resolución SE-CONAP 271/2008</t>
  </si>
  <si>
    <t>Agroforestal Rosales Pacheco, S:A</t>
  </si>
  <si>
    <t>SIGAP-256</t>
  </si>
  <si>
    <t>El Zapote</t>
  </si>
  <si>
    <t>Resolución SE-CONAP 40/2009</t>
  </si>
  <si>
    <t>Plantaciones Monterrey S.A.</t>
  </si>
  <si>
    <t>SIGAP-257</t>
  </si>
  <si>
    <t>Finca Setal</t>
  </si>
  <si>
    <t>Resolución SE-CONAP 87/2009</t>
  </si>
  <si>
    <t>Bocanueva S.A.</t>
  </si>
  <si>
    <t>Resolución SE-CONAP 267/2010</t>
  </si>
  <si>
    <t>SIGAP-258</t>
  </si>
  <si>
    <t>Finca El Cibal</t>
  </si>
  <si>
    <t>Resolución SE-CONAP 223/2009</t>
  </si>
  <si>
    <t>Marcelina González Cruz</t>
  </si>
  <si>
    <t>SIGAP-259</t>
  </si>
  <si>
    <t>Finca Rincón Grande</t>
  </si>
  <si>
    <t>Resolución SE-CONAP 7/2009</t>
  </si>
  <si>
    <t>Inversiones Mosarc S.A</t>
  </si>
  <si>
    <t>SIGAP-260</t>
  </si>
  <si>
    <t>Finca Nitún</t>
  </si>
  <si>
    <t>Resolución SE-CONAP 259/2009</t>
  </si>
  <si>
    <t>Lorena Castillo Castellanos</t>
  </si>
  <si>
    <t>Reserva de Biósfera Maya (Zona de Amortiguamiento) - parcial</t>
  </si>
  <si>
    <t>SIGAP-261</t>
  </si>
  <si>
    <t>Finca Patrocinio</t>
  </si>
  <si>
    <t>El Palmar</t>
  </si>
  <si>
    <t>Resolución SE-CONAP 6/2009</t>
  </si>
  <si>
    <t xml:space="preserve">Mario Rodolfo Aguilar </t>
  </si>
  <si>
    <t>SIGAP-262</t>
  </si>
  <si>
    <t>Plancha de Piedra</t>
  </si>
  <si>
    <t>Resolución SE-CONAP 488/2008</t>
  </si>
  <si>
    <t>Municipalidad Melchor de Mencos, Petén</t>
  </si>
  <si>
    <t>Reserva de Biósfera Maya (Zona de Uso Múltiple)</t>
  </si>
  <si>
    <t>SIGAP-263</t>
  </si>
  <si>
    <t>Buenos Aires II</t>
  </si>
  <si>
    <t>Resolución SE-CONAP 471/2008</t>
  </si>
  <si>
    <t>SIGAP-264</t>
  </si>
  <si>
    <t>Buenos Aires I</t>
  </si>
  <si>
    <t>Resolución SE-CONAP 279/2009</t>
  </si>
  <si>
    <t>SIGAP-265</t>
  </si>
  <si>
    <t>Sacul-Ha</t>
  </si>
  <si>
    <t>Dolores</t>
  </si>
  <si>
    <t>Resolución SE-CONAP 273/2009</t>
  </si>
  <si>
    <t>Municipalidad Dolores, Petén</t>
  </si>
  <si>
    <t>SIGAP-266</t>
  </si>
  <si>
    <t>La Caridad</t>
  </si>
  <si>
    <t>San Benito</t>
  </si>
  <si>
    <t>Resolución SE-CONAP 472/2008</t>
  </si>
  <si>
    <t>Municipalidad de San Benito, Petén</t>
  </si>
  <si>
    <t>SIGAP-267</t>
  </si>
  <si>
    <t>El Vivero</t>
  </si>
  <si>
    <t>Resolución SE-CONAP 470/2008</t>
  </si>
  <si>
    <t>SIGAP-268</t>
  </si>
  <si>
    <t>Cuevas El Tecolote</t>
  </si>
  <si>
    <t>Resolución SE-CONAP 246/2009</t>
  </si>
  <si>
    <t>Municipalidad de San Benito, Peten</t>
  </si>
  <si>
    <t>SIGAP-269</t>
  </si>
  <si>
    <t>Ixtutz</t>
  </si>
  <si>
    <t>Resolución SE-CONAP 468/2008</t>
  </si>
  <si>
    <t>SIGAP-270</t>
  </si>
  <si>
    <t>SacPetén</t>
  </si>
  <si>
    <t>Resolución SE-CONAP 464/2008</t>
  </si>
  <si>
    <t>Municipalidad Flores, Peten</t>
  </si>
  <si>
    <t>SIGAP-271</t>
  </si>
  <si>
    <t>Nuevo San Carlos</t>
  </si>
  <si>
    <t>Resolución SE-CONAP 365/2009</t>
  </si>
  <si>
    <t>Agropecuaria Laurel, S.A.</t>
  </si>
  <si>
    <t>SIGAP-272</t>
  </si>
  <si>
    <t>El Esfuerzo</t>
  </si>
  <si>
    <t>Resolución SE-CONAP 210/2009</t>
  </si>
  <si>
    <t>SIGAP-273</t>
  </si>
  <si>
    <t>Cuevas Actún-Kan</t>
  </si>
  <si>
    <t>Resolución SE-CONAP 208/2010</t>
  </si>
  <si>
    <t>Municipalidad de Flores, Petén</t>
  </si>
  <si>
    <t>SIGAP-274</t>
  </si>
  <si>
    <t>Finca La Esperanza</t>
  </si>
  <si>
    <t>Resolución SE-CONAP 244/2009</t>
  </si>
  <si>
    <t>Francisco Hernández</t>
  </si>
  <si>
    <t>SIGAP-276</t>
  </si>
  <si>
    <t>Finca San José Prem</t>
  </si>
  <si>
    <t>San Juan Alotenango</t>
  </si>
  <si>
    <t>Resolución SE-CONAP 245/2009</t>
  </si>
  <si>
    <t>Agua Blanca, S.A.</t>
  </si>
  <si>
    <t>Zona de Veda Volcán Fuego</t>
  </si>
  <si>
    <t>SIGAP-277</t>
  </si>
  <si>
    <t>Finca Chirijuyú</t>
  </si>
  <si>
    <t>Resolución SE-CONAP 69/2009</t>
  </si>
  <si>
    <t>Agrícola Pecuaria Chirijuyú, S.A.</t>
  </si>
  <si>
    <t>007</t>
  </si>
  <si>
    <t>SIGAP-278</t>
  </si>
  <si>
    <t>Finca El Socorro</t>
  </si>
  <si>
    <t>Resolución SE-CONAP 107/2009</t>
  </si>
  <si>
    <t>CERCOL, S.A.</t>
  </si>
  <si>
    <t>4936</t>
  </si>
  <si>
    <t>SIGAP-279</t>
  </si>
  <si>
    <t>Finca de la Comunidad de Quesada</t>
  </si>
  <si>
    <t>Quesada</t>
  </si>
  <si>
    <t>Resolución SE-CONAP 323/2009</t>
  </si>
  <si>
    <t>Asociación no lucrativa de la Comunidad de Quesada</t>
  </si>
  <si>
    <t>SIGAP-280</t>
  </si>
  <si>
    <t>Txinivakán</t>
  </si>
  <si>
    <t>Resolución SE-CONAP 271/2009</t>
  </si>
  <si>
    <t>SIGAP-281</t>
  </si>
  <si>
    <t>El Manantial</t>
  </si>
  <si>
    <t>Resolución SE-CONAP 240/2009</t>
  </si>
  <si>
    <t>Alvaro Alfredo Rodríguez Gallardo</t>
  </si>
  <si>
    <t>SIGAP-282</t>
  </si>
  <si>
    <t>El Mangal</t>
  </si>
  <si>
    <t>Resolución SE-CONAP 237/2009</t>
  </si>
  <si>
    <t>Sabina Priscilla María Tchudi Schroder</t>
  </si>
  <si>
    <t>SIGAP-283</t>
  </si>
  <si>
    <t>El Porvenir</t>
  </si>
  <si>
    <t>Resolución SE-CONAP 342/2009</t>
  </si>
  <si>
    <t>Asociación Acción Cristiana para el Municipio de San Lucas Tolimán</t>
  </si>
  <si>
    <t>SIGAP-284</t>
  </si>
  <si>
    <t>Los Lagartos</t>
  </si>
  <si>
    <t>Resolución SE-CONAP 77/2010</t>
  </si>
  <si>
    <t>Claudia, Mónica y Jose Félix Ricardo Echeverría Wittkowsky</t>
  </si>
  <si>
    <t>SIGAP-285</t>
  </si>
  <si>
    <t>Astillero Municipal San Cristóbal Cucho</t>
  </si>
  <si>
    <t>San Cristobal Cucho</t>
  </si>
  <si>
    <t>Resolución SE-CONAP 225/2010 y Resolución SE-CONAP 374/2017</t>
  </si>
  <si>
    <t>Municipalidad de San Cristobal Cucho, San Marcos</t>
  </si>
  <si>
    <t>8330 Y 2017-71099</t>
  </si>
  <si>
    <t>Resolución SE-CONAP 225/2010</t>
  </si>
  <si>
    <t>SIGAP-286</t>
  </si>
  <si>
    <t>Astillero Pajales, Astillero Chicorona, Astillero Grande y Astillero Pequeño</t>
  </si>
  <si>
    <t>Parramos</t>
  </si>
  <si>
    <t>Resolución SE-CONAP 227/2010</t>
  </si>
  <si>
    <t>Municipalidad de Parramos, Chimaltenango</t>
  </si>
  <si>
    <t>SIGAP-287</t>
  </si>
  <si>
    <t>Astillero Municipal Esquipulas Palo Gordo</t>
  </si>
  <si>
    <t>Esquipulas Palo Gordo</t>
  </si>
  <si>
    <t>Resolución SE-CONAP 256/2010</t>
  </si>
  <si>
    <t>Municipalidad de Esquipulas Palo Gordo, San Marcos</t>
  </si>
  <si>
    <t>SIGAP-289</t>
  </si>
  <si>
    <t>Karnac</t>
  </si>
  <si>
    <t>Resolución SE-CONAP 313/2010</t>
  </si>
  <si>
    <t>Luz Cortéz Pérez</t>
  </si>
  <si>
    <t>Reserva de Biósfera Sierra de las Minas (Zona Núcleo y de Amortiguamiento)</t>
  </si>
  <si>
    <t>SIGAP-290</t>
  </si>
  <si>
    <t>Tres Marías</t>
  </si>
  <si>
    <t>Resolución SE-CONAP 322/2010</t>
  </si>
  <si>
    <t>Armando Nery Morales Castañeda</t>
  </si>
  <si>
    <t>SIGAP-291</t>
  </si>
  <si>
    <t>Guardabarranca</t>
  </si>
  <si>
    <t>Resolución SE-CONAP 306/2010</t>
  </si>
  <si>
    <t>Victor Manuel García</t>
  </si>
  <si>
    <t>SIGAP-292</t>
  </si>
  <si>
    <t>Cerro Papa'a</t>
  </si>
  <si>
    <t>San Marcos La Laguna</t>
  </si>
  <si>
    <t>Resolución SE-CONAP 224/2010</t>
  </si>
  <si>
    <t>Municipalidad de San Marcos La Laguna, Sololá</t>
  </si>
  <si>
    <t>SIGAP-293</t>
  </si>
  <si>
    <t>Astillero Municipal El Grande y Astillero Municipal Quiaquichum</t>
  </si>
  <si>
    <t>San Antonio Sacatepéquez</t>
  </si>
  <si>
    <t>Resolución SE-CONAP 270/2010</t>
  </si>
  <si>
    <t>Municipalidad de San Antonio Sacatepequez, San Marcos</t>
  </si>
  <si>
    <t>SIGAP-294</t>
  </si>
  <si>
    <t>El Encanto de Tecpan</t>
  </si>
  <si>
    <t>Resolución SE-CONAP 301/2010</t>
  </si>
  <si>
    <t>Ronald Enrique Estrada Hurtarte</t>
  </si>
  <si>
    <t>SIGAP-295</t>
  </si>
  <si>
    <t>Santuario Botánico</t>
  </si>
  <si>
    <t>Resolución SE-CONAP 189/2010</t>
  </si>
  <si>
    <t>SIGAP-296</t>
  </si>
  <si>
    <t>Río Colorado</t>
  </si>
  <si>
    <t>Resolución SE-CONAP 14/2010</t>
  </si>
  <si>
    <t>Francisco Osvaldo Cividanis Chacón</t>
  </si>
  <si>
    <t>SIGAP-297</t>
  </si>
  <si>
    <t>Montaña Aq'omá</t>
  </si>
  <si>
    <t>Jacaltenango</t>
  </si>
  <si>
    <t>Resolución SE-CONAP 297/2010</t>
  </si>
  <si>
    <t>Municipalidad de Jacaltenango</t>
  </si>
  <si>
    <t>SIGAP-298</t>
  </si>
  <si>
    <t>La Vieja Catarina</t>
  </si>
  <si>
    <t>Resolución SE-CONAP 348/2010</t>
  </si>
  <si>
    <t>SIGAP-299</t>
  </si>
  <si>
    <t>El Anexo del Capuccino</t>
  </si>
  <si>
    <t>San Cristobal Verapaz</t>
  </si>
  <si>
    <t>Resolución SE-CONAP 354/2010</t>
  </si>
  <si>
    <t>Esther Belinda Eskenasy Ponce</t>
  </si>
  <si>
    <t>SIGAP-300</t>
  </si>
  <si>
    <t>Cerro Mampil</t>
  </si>
  <si>
    <t>Santa Ana Huista</t>
  </si>
  <si>
    <t>Resolución SE-CONAP 003/2011</t>
  </si>
  <si>
    <t>Municipalidad Santa Ana Huista</t>
  </si>
  <si>
    <t>SIGAP-301</t>
  </si>
  <si>
    <t>Xucaneb</t>
  </si>
  <si>
    <t>Resolución SE-CONAP 331/2010</t>
  </si>
  <si>
    <t>Edgar Alfredo Pape Yalibat</t>
  </si>
  <si>
    <t>SIGAP-302</t>
  </si>
  <si>
    <t>Katherine</t>
  </si>
  <si>
    <t>Resolución SE-CONAP 64/2011</t>
  </si>
  <si>
    <t>Isauro García y García</t>
  </si>
  <si>
    <t>SIGAP-303</t>
  </si>
  <si>
    <t>Australia</t>
  </si>
  <si>
    <t>El Tumbador</t>
  </si>
  <si>
    <t>Resolución SE-CONAP 111/2011</t>
  </si>
  <si>
    <t>Alfredo Hugo Mackenney Fleischmann</t>
  </si>
  <si>
    <t>SIGAP-304</t>
  </si>
  <si>
    <t>Astillero Municipal Volcán de Acatenango</t>
  </si>
  <si>
    <t>Resolución SE-CONAP 168/2011</t>
  </si>
  <si>
    <t>Municipalidad de Acatenango, Chimaltenango</t>
  </si>
  <si>
    <t>Resolución SE 667-2015</t>
  </si>
  <si>
    <t>Zona de Veda Volcán Acatenango</t>
  </si>
  <si>
    <t>SIGAP-305</t>
  </si>
  <si>
    <t>Astillero Municipal Ox'ijuy'u</t>
  </si>
  <si>
    <t>Resolución SE-CONAP 245/2011</t>
  </si>
  <si>
    <t>Municipalidad San Juan Alotenango</t>
  </si>
  <si>
    <t>SIGAP-306</t>
  </si>
  <si>
    <t>La Barranca</t>
  </si>
  <si>
    <t>Resolución SE-CONAP 277/2011</t>
  </si>
  <si>
    <t>Xakanul, S.A.</t>
  </si>
  <si>
    <t>SIGAP-307</t>
  </si>
  <si>
    <t>Cerro Ajaw</t>
  </si>
  <si>
    <t>San Juan La Laguna</t>
  </si>
  <si>
    <t>Resolución SE-CONAP 419/2011</t>
  </si>
  <si>
    <t>Municipalidad de San Juan La Laguna, Sololá</t>
  </si>
  <si>
    <t>SIGAP-308</t>
  </si>
  <si>
    <t>La Florida</t>
  </si>
  <si>
    <t>Colomba Costa Cuca</t>
  </si>
  <si>
    <t>Resolución SE-CONAP 5/2012</t>
  </si>
  <si>
    <t>Sociedad Civil para el Desarrollo de Colomba (SCIDECO PEREZ LOPEZ S.C.)</t>
  </si>
  <si>
    <t>SIGAP-309</t>
  </si>
  <si>
    <t>Finca Comunitaria Magnolia Miramar</t>
  </si>
  <si>
    <t>Resolución SE-CONAP 9/2012</t>
  </si>
  <si>
    <t>Asociación de Campesinos Nuevo Bullaj</t>
  </si>
  <si>
    <t xml:space="preserve">Zona de Veda Volcán Lacandón </t>
  </si>
  <si>
    <t>SIGAP-310</t>
  </si>
  <si>
    <t>Cerro Chuiraxamoló</t>
  </si>
  <si>
    <t>Santa Clara La Laguna</t>
  </si>
  <si>
    <t>Resolución SE-CONAP 314/2010</t>
  </si>
  <si>
    <t>Municipalidad de Santa Clara La Laguna, Sololá</t>
  </si>
  <si>
    <t>SIGAP-311</t>
  </si>
  <si>
    <t>Finca Comunitaria Loma Linda</t>
  </si>
  <si>
    <t>Resolución SE-CONAP 023/2012</t>
  </si>
  <si>
    <t>Cooperativa Agrícola Integral "Loma Linda" R.L.</t>
  </si>
  <si>
    <t>SIGAP-313</t>
  </si>
  <si>
    <t>El Pacaño</t>
  </si>
  <si>
    <t>Patzicía</t>
  </si>
  <si>
    <t>Resolución SE-CONAP 184/2012</t>
  </si>
  <si>
    <t>Inmobiliaria del Altiplano Central, S.A.</t>
  </si>
  <si>
    <t>SIGAP-314</t>
  </si>
  <si>
    <t>Bosque Yul Ha' Saj Ha'</t>
  </si>
  <si>
    <t>Resolución SE-CONAP 282/2012</t>
  </si>
  <si>
    <t>SIGAP-315</t>
  </si>
  <si>
    <t>Cerro Mano de León (Cerro Sija)</t>
  </si>
  <si>
    <t>San Carlos Sija</t>
  </si>
  <si>
    <t>Resolución SE-CONAP 295/2012</t>
  </si>
  <si>
    <t>Municipalidad de San Carlos Sija, Quetzaltenango</t>
  </si>
  <si>
    <t>SIGAP-316</t>
  </si>
  <si>
    <t>Häk Yahx Luúm</t>
  </si>
  <si>
    <t>San Mateo Ixtatán</t>
  </si>
  <si>
    <t>Resolución SE-CONAP 302/2012</t>
  </si>
  <si>
    <t>Asociación Forestal de Yalanhb'ojoch "Awum Te"</t>
  </si>
  <si>
    <t>SIGAP-317</t>
  </si>
  <si>
    <t>San Pablo</t>
  </si>
  <si>
    <t>Resolución SE-CONAP 303/2012</t>
  </si>
  <si>
    <t>Empresa Campesina Asociativa La Igualdad</t>
  </si>
  <si>
    <t>SIGAP-318</t>
  </si>
  <si>
    <t>Las Vegas</t>
  </si>
  <si>
    <t>Chinautla</t>
  </si>
  <si>
    <t>Resolución SE-CONAP 353/2012</t>
  </si>
  <si>
    <t>Barrios Viviendas, S.A. (BARVISA)</t>
  </si>
  <si>
    <t>SIGAP-319</t>
  </si>
  <si>
    <t>Centro de Conservación Orquigonia</t>
  </si>
  <si>
    <t>Resolución SE-CONAP 369/2012</t>
  </si>
  <si>
    <t>Luis Francisco, Yohanna Magaly y Karen Julissa Archila Ordoñez</t>
  </si>
  <si>
    <t>SIGAP-320</t>
  </si>
  <si>
    <t>Nitún I</t>
  </si>
  <si>
    <t>Resolución SE-CONAP 377/2012</t>
  </si>
  <si>
    <t>Punta Verde, S.A.</t>
  </si>
  <si>
    <t>SIGAP-321</t>
  </si>
  <si>
    <t>Cerro Panan</t>
  </si>
  <si>
    <t>Resolución SE-CONAP 326/2010, 259/2011 y 249/2013</t>
  </si>
  <si>
    <t>Resolución SE-CONAP 326/2010</t>
  </si>
  <si>
    <t>Aunque se modificó la resolución de declaratoria, las coordenadas están en la resolución del 2010.</t>
  </si>
  <si>
    <t>SIGAP-322</t>
  </si>
  <si>
    <t>Parque Regional Municipal de Huehuetenango, Reserva de Manantiales</t>
  </si>
  <si>
    <t xml:space="preserve"> </t>
  </si>
  <si>
    <t>Chiantla</t>
  </si>
  <si>
    <t>Resolución SE-CONAP 390/2012</t>
  </si>
  <si>
    <t>Municipalidad de Huehuetenango, Huehuetenango</t>
  </si>
  <si>
    <t>SIGAP-323</t>
  </si>
  <si>
    <t>Estación Científica Refugio del Quetzal - Volcán Atitlán</t>
  </si>
  <si>
    <t>Santa Bárbara, Patulul</t>
  </si>
  <si>
    <t>Resolución SE-CONAP 22/2013</t>
  </si>
  <si>
    <t>Fundación de la Universidad del Valle de Guatemala</t>
  </si>
  <si>
    <t>SIGAP-324</t>
  </si>
  <si>
    <t>Reserva para la Conservación de Anfibios de Sierra Caral</t>
  </si>
  <si>
    <t>Resolución SE-CONAP 188/2013</t>
  </si>
  <si>
    <t>SIGAP-325</t>
  </si>
  <si>
    <t>Rincón del Zope</t>
  </si>
  <si>
    <t>Resolución SE-CONAP 06/2013</t>
  </si>
  <si>
    <t>Esvin Ariel Girón Flores</t>
  </si>
  <si>
    <t>SIGAP-326</t>
  </si>
  <si>
    <t>Xetaj</t>
  </si>
  <si>
    <t>San Rafael La Independencia</t>
  </si>
  <si>
    <t>Resolución SE-CONAP 79/2013</t>
  </si>
  <si>
    <t>Municipalidad de San Rafael La Independencia, Huehuetenango</t>
  </si>
  <si>
    <t>SIGAP-327</t>
  </si>
  <si>
    <t>Sulin</t>
  </si>
  <si>
    <t>Resolución SE-CONAP 195/2013</t>
  </si>
  <si>
    <t>Objetos y Clases, S.A.</t>
  </si>
  <si>
    <t>SIGAP-328</t>
  </si>
  <si>
    <t>San Andrés Rocjá</t>
  </si>
  <si>
    <t>Tamahú</t>
  </si>
  <si>
    <t>Resolución SE-CONAP 60/2013</t>
  </si>
  <si>
    <t>Maria Sara Santa Cruz Fortin de García</t>
  </si>
  <si>
    <t>SIGAP-329</t>
  </si>
  <si>
    <t>Llano de la Negra</t>
  </si>
  <si>
    <t>Resolución SE-CONAP 314/2013</t>
  </si>
  <si>
    <t>Hugo Leonel Paiz Leonardo</t>
  </si>
  <si>
    <t>SIGAP-330</t>
  </si>
  <si>
    <t>Cumbre Laguna Seca</t>
  </si>
  <si>
    <t>San Miguel Chicaj</t>
  </si>
  <si>
    <t>Resolución SE-CONAP 357/2013</t>
  </si>
  <si>
    <t>Municipalidad de San Miguel Chicaj, Baja Verapaz</t>
  </si>
  <si>
    <t>SIGAP-331</t>
  </si>
  <si>
    <t>Los Peñas</t>
  </si>
  <si>
    <t>Resolución SE-CONAP 32/2014</t>
  </si>
  <si>
    <t>Carlos Federico Peña Ortiz</t>
  </si>
  <si>
    <t>SIGAP-332</t>
  </si>
  <si>
    <t>X'been Tzul Alvarrué</t>
  </si>
  <si>
    <t>Resolución SE-CONAP 213/2014</t>
  </si>
  <si>
    <t>Julio César Álvarez Arrué</t>
  </si>
  <si>
    <t>SIGAP-333</t>
  </si>
  <si>
    <t>El Manzanotillo</t>
  </si>
  <si>
    <t>Resolución SE-CONAP 237/2014</t>
  </si>
  <si>
    <t>Walter Archila Cordón</t>
  </si>
  <si>
    <t>SIGAP-334</t>
  </si>
  <si>
    <t>El Mango</t>
  </si>
  <si>
    <t>Resolución SE-CONAP 233/2014</t>
  </si>
  <si>
    <t>SIGAP-335</t>
  </si>
  <si>
    <t>Altamira</t>
  </si>
  <si>
    <t>Resolución SE-CONAP 230/2014</t>
  </si>
  <si>
    <t>Plantaciones Altamira S.A.</t>
  </si>
  <si>
    <t>Zona de Veda Definitiva Volcán Santo Tomás y RNP Las Nubes - parcial</t>
  </si>
  <si>
    <t>SIGAP-336</t>
  </si>
  <si>
    <t>Sierra Caral</t>
  </si>
  <si>
    <t>Reserva Hídrica y Forestal</t>
  </si>
  <si>
    <t>Decreto Legislativo No. 16-2014</t>
  </si>
  <si>
    <t>Concurso Público</t>
  </si>
  <si>
    <t>Decreto 16-2014</t>
  </si>
  <si>
    <t>El CONAP puede aprobar modificación a zonificación con estudio que lo justifique. No puede reducirse la Zona Núcleo más de un 10%.</t>
  </si>
  <si>
    <t>SIGAP-337</t>
  </si>
  <si>
    <t>Resolución SE-CONAP 246/2014</t>
  </si>
  <si>
    <t>SIGAP-338</t>
  </si>
  <si>
    <t>Cuchilla del Barranco Trozado</t>
  </si>
  <si>
    <t>Resolución SE-CONAP 248/2014</t>
  </si>
  <si>
    <t>SIGAP-339</t>
  </si>
  <si>
    <t>Piedras de Kab'tzin, San Juan Ixcoy</t>
  </si>
  <si>
    <t>San Juan Ixcoy</t>
  </si>
  <si>
    <t>Resolución SE-CONAP 276/2014</t>
  </si>
  <si>
    <t>Municipalidad de San Juan Ixcoy, Huehuetenango</t>
  </si>
  <si>
    <t>SIGAP-340</t>
  </si>
  <si>
    <t>Monte de Oro y anexos</t>
  </si>
  <si>
    <t>Santiago Atitlán</t>
  </si>
  <si>
    <t>Resolución SE-CONAP 267-2014</t>
  </si>
  <si>
    <t>Monte de Oro S.A.</t>
  </si>
  <si>
    <t>SIGAP-341</t>
  </si>
  <si>
    <t>San Cristóbal Verapaz</t>
  </si>
  <si>
    <t xml:space="preserve">Resolución SECONAP 366/2014 </t>
  </si>
  <si>
    <t>Agricola Valmar, S.A.</t>
  </si>
  <si>
    <t>SIGAP-342</t>
  </si>
  <si>
    <t>Astillero Municipal  Santa Catarina Barahona</t>
  </si>
  <si>
    <t>Santa Catarina Barahona</t>
  </si>
  <si>
    <t xml:space="preserve">Resolución SECONAP 466/2014 </t>
  </si>
  <si>
    <t>Municipalidad de Santa Catarina Barahona</t>
  </si>
  <si>
    <t>SIGAP-343</t>
  </si>
  <si>
    <t>Chuya</t>
  </si>
  <si>
    <t>Santa María de Jesús</t>
  </si>
  <si>
    <t xml:space="preserve">Resolución SECONAP 483/2014  </t>
  </si>
  <si>
    <t>Municipalidad de Santa María de Jesús</t>
  </si>
  <si>
    <t>SIGAP-344</t>
  </si>
  <si>
    <t>Portal de las Minas</t>
  </si>
  <si>
    <t>Resolución SECONAP 16/20015</t>
  </si>
  <si>
    <t>Hugo Abraham Orellana Paz</t>
  </si>
  <si>
    <t>Resolución SECONAP 16/2005</t>
  </si>
  <si>
    <t>SIGAP-345</t>
  </si>
  <si>
    <t>San Rafael Pié de la Cuesta</t>
  </si>
  <si>
    <t>Resolución SECONAP 37/2015</t>
  </si>
  <si>
    <t>Municipalidad de San Rafael Pie de la Cuesta</t>
  </si>
  <si>
    <t>SIGAP-346</t>
  </si>
  <si>
    <t>El Roblar</t>
  </si>
  <si>
    <t>Teculután</t>
  </si>
  <si>
    <t>Resolución SECONAP 204/2015</t>
  </si>
  <si>
    <t>SIGAP-347</t>
  </si>
  <si>
    <t>El Aguacate</t>
  </si>
  <si>
    <t>Resolución SECONAP 267/2015</t>
  </si>
  <si>
    <t>SIGAP-348</t>
  </si>
  <si>
    <t>Iglesia Católica Diocesis del Quiché</t>
  </si>
  <si>
    <t>Playa Grande, Ixcan</t>
  </si>
  <si>
    <t>Resolución SECONAP 312/2015</t>
  </si>
  <si>
    <t>Iglesia Católica Diocesis de Quiché</t>
  </si>
  <si>
    <t>2015-17601</t>
  </si>
  <si>
    <t>SIGAP-349</t>
  </si>
  <si>
    <t>Parque Ecológico Corazón del Bosque (Parque Ecológico "UK'UX  K'ACHELAJ")</t>
  </si>
  <si>
    <t>Santa Lucia Utatlan</t>
  </si>
  <si>
    <t>Resolución SECONAP 654/2015</t>
  </si>
  <si>
    <t>Asociación Agropecuaria y Artesanal para el Desarrollo "La Guadalupana"</t>
  </si>
  <si>
    <t>Resolución 237/2017 de fecha 11/07/2017</t>
  </si>
  <si>
    <t>2017-2022</t>
  </si>
  <si>
    <t>SIGAP-350</t>
  </si>
  <si>
    <t xml:space="preserve"> Hawaii</t>
  </si>
  <si>
    <t>Área de Usos Múltiples</t>
  </si>
  <si>
    <t>Dec.Leg.16-2016</t>
  </si>
  <si>
    <t>Decreto 16-2016</t>
  </si>
  <si>
    <t>SIGAP-351</t>
  </si>
  <si>
    <t>Montaña Balanguac Área 1</t>
  </si>
  <si>
    <t xml:space="preserve"> Cubulco</t>
  </si>
  <si>
    <t>Resolución SE 394/2016</t>
  </si>
  <si>
    <t>Municipalidad de Cubulco</t>
  </si>
  <si>
    <t>SIGAP-352</t>
  </si>
  <si>
    <t>Asunlaq</t>
  </si>
  <si>
    <t>Santa Cruz Barillas</t>
  </si>
  <si>
    <t>Resolución SE 410/2016</t>
  </si>
  <si>
    <t>Municipalidad de Santa Cruz Barillas</t>
  </si>
  <si>
    <t>2015-70444</t>
  </si>
  <si>
    <t>SIGAP-353</t>
  </si>
  <si>
    <t>Reserva Ecológica del Mangle</t>
  </si>
  <si>
    <t xml:space="preserve">Champerico, </t>
  </si>
  <si>
    <t>Resolución SE 559/2016</t>
  </si>
  <si>
    <t>Ricardo Manuel Montes García</t>
  </si>
  <si>
    <t>2015-63346</t>
  </si>
  <si>
    <t>SIGAP-354</t>
  </si>
  <si>
    <t>Parque Regional municipal  El Mirador Rey Tepepul</t>
  </si>
  <si>
    <t>Resolución SE 205/2017</t>
  </si>
  <si>
    <t>Municipalidad de Santiago Atitlán</t>
  </si>
  <si>
    <t>Dentro de la RUMCLA</t>
  </si>
  <si>
    <t>CONAP - 8830</t>
  </si>
  <si>
    <t>SIGAP-355</t>
  </si>
  <si>
    <t>Parque Regional Municipal  Twi A´lj Witz</t>
  </si>
  <si>
    <t>San Juan Atitán</t>
  </si>
  <si>
    <t>Resolución SE 334/2017</t>
  </si>
  <si>
    <t>Municipalidad de San Juan Atitán</t>
  </si>
  <si>
    <t>2016-68272</t>
  </si>
  <si>
    <t>SIGAP-356</t>
  </si>
  <si>
    <t>Parque Regional Municipal  "Cerro Grande"</t>
  </si>
  <si>
    <t>Morazan</t>
  </si>
  <si>
    <t>Resolución SE 360/2017 y Resolución SE 342/2019</t>
  </si>
  <si>
    <t>Municipalidad de Morazán</t>
  </si>
  <si>
    <t>Apoyo en la Administración Conjunta</t>
  </si>
  <si>
    <t>Resolución SE 360/2017</t>
  </si>
  <si>
    <t>SIGAP-357</t>
  </si>
  <si>
    <t>Reserva Ecológica Manabique-Santa Isabel</t>
  </si>
  <si>
    <t>Resolución SE 354/2014</t>
  </si>
  <si>
    <t>FUNDAECO</t>
  </si>
  <si>
    <t>Dentro de RV Silvestre Punta de Manabique</t>
  </si>
  <si>
    <t>SIGAP-358</t>
  </si>
  <si>
    <t>Bosque Tz'ahab' Tonh</t>
  </si>
  <si>
    <t>Resolución SE 325/2018</t>
  </si>
  <si>
    <t>2017-88140</t>
  </si>
  <si>
    <t>SIGAP-359</t>
  </si>
  <si>
    <t>Montaña Negra</t>
  </si>
  <si>
    <t>Parque Regional</t>
  </si>
  <si>
    <t>Unión Cantinil</t>
  </si>
  <si>
    <t>Resolución SE 316/2018</t>
  </si>
  <si>
    <t>Municipalidad de Unión Cantinil</t>
  </si>
  <si>
    <t>2017-94233</t>
  </si>
  <si>
    <t>SIGAP-360</t>
  </si>
  <si>
    <t>La Pastoría</t>
  </si>
  <si>
    <t>Resolución SE 06/2019</t>
  </si>
  <si>
    <t>Jorge Luis Fernández Marroquin</t>
  </si>
  <si>
    <t>2016-75820</t>
  </si>
  <si>
    <t>SIGAP-361</t>
  </si>
  <si>
    <t>Agua Dulce</t>
  </si>
  <si>
    <t>Resolución 05/2019</t>
  </si>
  <si>
    <t>Consejo Comunitario Caserio La Nueva Providencia</t>
  </si>
  <si>
    <t>2018-12726</t>
  </si>
  <si>
    <t>SIGAP-362</t>
  </si>
  <si>
    <t>Covirey</t>
  </si>
  <si>
    <t>Soloma</t>
  </si>
  <si>
    <t>Resolución 203/2019</t>
  </si>
  <si>
    <t>Municipalidad de Solooma</t>
  </si>
  <si>
    <t>2017-89316</t>
  </si>
  <si>
    <t>SIGAP-363</t>
  </si>
  <si>
    <t>Yal Unin Yul Witz</t>
  </si>
  <si>
    <t>Resolución 204/2019</t>
  </si>
  <si>
    <t>2017-10438</t>
  </si>
  <si>
    <t>SIGAP-364</t>
  </si>
  <si>
    <t>San Diego</t>
  </si>
  <si>
    <t>Resolución 222/2018</t>
  </si>
  <si>
    <t>Luis Alberto Recinos González, Agricola La Montaña, S.A.</t>
  </si>
  <si>
    <t>SIGAP-365</t>
  </si>
  <si>
    <t>Bosque la Avanzada</t>
  </si>
  <si>
    <t>Tectitán</t>
  </si>
  <si>
    <t>Resolución 155/2019</t>
  </si>
  <si>
    <t>Municipalidad de Tectitán</t>
  </si>
  <si>
    <t>2017/63449</t>
  </si>
  <si>
    <t>SIGAP-366</t>
  </si>
  <si>
    <t>Joya Grande</t>
  </si>
  <si>
    <t>Resolución 177/2019</t>
  </si>
  <si>
    <t>Municipalidad de San Pedro Yepocapa</t>
  </si>
  <si>
    <t xml:space="preserve">Dentro de ZVD Volcanes Acatenango y Fuego </t>
  </si>
  <si>
    <t>2018-30868</t>
  </si>
  <si>
    <t>SIGAP-367</t>
  </si>
  <si>
    <t>Aguas Termales Santa María Candelaria</t>
  </si>
  <si>
    <t xml:space="preserve">Ixcan </t>
  </si>
  <si>
    <t>Quiche</t>
  </si>
  <si>
    <t>Resolución 311/2019</t>
  </si>
  <si>
    <t>2017-61999</t>
  </si>
  <si>
    <t>SIGAP-368</t>
  </si>
  <si>
    <t>La Montañita</t>
  </si>
  <si>
    <t>Santiago Chimaltenango</t>
  </si>
  <si>
    <t>Resolución 327/2019</t>
  </si>
  <si>
    <t>Municipalidad de Santiago Chimaltenango</t>
  </si>
  <si>
    <t>2016-35864</t>
  </si>
  <si>
    <t>Resolución 327/2020</t>
  </si>
  <si>
    <t>SIGAP-369</t>
  </si>
  <si>
    <t>Chocol</t>
  </si>
  <si>
    <t>Santa Lucía Utatlán</t>
  </si>
  <si>
    <t>Resolución 159/2019</t>
  </si>
  <si>
    <t>Municipalidad de Santa Lucía Utatlán</t>
  </si>
  <si>
    <t>Dentro de Reserva de Uso Múltiple de la Cuenca del Lago de Atitlán</t>
  </si>
  <si>
    <t>2017-6281</t>
  </si>
  <si>
    <t>SIGAP-370</t>
  </si>
  <si>
    <t>Nuevo Mirador Chiblac</t>
  </si>
  <si>
    <t>Resolución 178/2020</t>
  </si>
  <si>
    <t>Asociación Civíl no Lucrativa Cerro Pojom</t>
  </si>
  <si>
    <t>2019-65779</t>
  </si>
  <si>
    <r>
      <rPr>
        <sz val="10"/>
        <color indexed="10"/>
        <rFont val="Calibri"/>
        <charset val="134"/>
      </rPr>
      <t xml:space="preserve">* </t>
    </r>
    <r>
      <rPr>
        <sz val="10"/>
        <rFont val="Calibri"/>
        <charset val="134"/>
      </rPr>
      <t>Incluida dentro de los limites de otra area protegida (90)</t>
    </r>
  </si>
  <si>
    <t>DATOS OFICIALES DE SUPERFICIE EN CONSERVACION Y MANEJO DE AREAS PROTEGIDAS DEL SIGAP</t>
  </si>
  <si>
    <r>
      <rPr>
        <sz val="10"/>
        <color rgb="FFFF0000"/>
        <rFont val="Calibri"/>
        <charset val="134"/>
      </rPr>
      <t xml:space="preserve">** </t>
    </r>
    <r>
      <rPr>
        <sz val="10"/>
        <rFont val="Calibri"/>
        <charset val="134"/>
      </rPr>
      <t>Húmedales de importancia declarados como sitios RAMSAR (7)</t>
    </r>
  </si>
  <si>
    <t>Al calcular la superficie del SIGAP se excluyen áreas protegidas ubicadas dentro de otras áreas con mayor categoría de manejo.</t>
  </si>
  <si>
    <t>En algunos casos, la extensión del Sitio RAMSAR no concuerda con la del área protegida.</t>
  </si>
  <si>
    <t>CANTIDAD TOTAL DE ÁREAS PROTEGIDAS</t>
  </si>
  <si>
    <r>
      <rPr>
        <sz val="10"/>
        <color rgb="FFFF0000"/>
        <rFont val="Calibri"/>
        <charset val="134"/>
      </rPr>
      <t xml:space="preserve">*** </t>
    </r>
    <r>
      <rPr>
        <sz val="10"/>
        <rFont val="Calibri"/>
        <charset val="134"/>
      </rPr>
      <t>sitios de Patrimonio Mundial, reconocidos por UNESCO (1)</t>
    </r>
  </si>
  <si>
    <t>SUPERFICIE TOTAL DEL SIGAP (ha)</t>
  </si>
  <si>
    <t>%</t>
  </si>
  <si>
    <t>TOTAL DEL SIGAP TERRESTRE</t>
  </si>
  <si>
    <t>TOTAL DEL SIGAP MARÍNO*</t>
  </si>
  <si>
    <t/>
  </si>
  <si>
    <t>PORCENTAJE DE LA SUPERFICIE TERRESTRE DEL PAIS DENTRO DEL SIGAP</t>
  </si>
  <si>
    <t>* Fuente: Plan Maestro Punta de Manabique</t>
  </si>
  <si>
    <r>
      <rPr>
        <b/>
        <sz val="10"/>
        <rFont val="Calibri"/>
        <charset val="134"/>
      </rPr>
      <t xml:space="preserve">SUMATORIA DE EXTENSIONES DEL TOTAL DE AREAS PROTEGIDAS DEL SIGAP                                                                         </t>
    </r>
    <r>
      <rPr>
        <i/>
        <sz val="10"/>
        <rFont val="Calibri"/>
        <charset val="134"/>
      </rPr>
      <t xml:space="preserve"> </t>
    </r>
    <r>
      <rPr>
        <b/>
        <sz val="10"/>
        <rFont val="Calibri"/>
        <charset val="134"/>
      </rPr>
      <t xml:space="preserve"> </t>
    </r>
  </si>
  <si>
    <t>Incluye áreas declaradas dentro de otras áreas con mayor categoría de manejo</t>
  </si>
  <si>
    <t>TOTAL DEL SIGAP EN Ha</t>
  </si>
  <si>
    <t>TOTAL SUMA OFICIAL</t>
  </si>
  <si>
    <t>VALOR UNITARIO</t>
  </si>
  <si>
    <t>CATEGORIA</t>
  </si>
  <si>
    <t>NO INCLUYE AP's DENTRO DE AP's  (Ha)</t>
  </si>
  <si>
    <t>INCLUYE AP's DENTRO DE AP's  (Ha)</t>
  </si>
  <si>
    <t>CONSERVACION POR REGIONES   CONAP</t>
  </si>
  <si>
    <t>Verapaces, Oriente, Nororiente</t>
  </si>
  <si>
    <t>Zona de Veda</t>
  </si>
  <si>
    <t>Peten</t>
  </si>
  <si>
    <t>Tipo I  Parque Nacional</t>
  </si>
  <si>
    <t xml:space="preserve">Verapaces </t>
  </si>
  <si>
    <t>Tipo I  Reserva Biologica</t>
  </si>
  <si>
    <t xml:space="preserve">Altiplano Central </t>
  </si>
  <si>
    <t>Tipo II Biotopo Protegido</t>
  </si>
  <si>
    <t>Tipo II Monumento Cultural</t>
  </si>
  <si>
    <t>Tipo II Monumento Natural</t>
  </si>
  <si>
    <t>Tipo III Refugio de vida silvestre</t>
  </si>
  <si>
    <t>Tipo III Area de Usos Multiples</t>
  </si>
  <si>
    <t>Sur Oriente</t>
  </si>
  <si>
    <t>Tipo III Reserva Hídrica y Forestal</t>
  </si>
  <si>
    <t>Tipo III Reserva Protectora de Manantiales</t>
  </si>
  <si>
    <t>Tipo III Reserva Forestal Protectora de Manantiales</t>
  </si>
  <si>
    <t>TOTAL</t>
  </si>
  <si>
    <t>Tipo IV Reserva Forestal Municipal</t>
  </si>
  <si>
    <t>Tipo IV Parque Recreativo Natural Municipal</t>
  </si>
  <si>
    <t>Tipo IV Parque Regional y Área Natural Recreativa</t>
  </si>
  <si>
    <t>Tipo IV Parque Regional Municipal</t>
  </si>
  <si>
    <t>Tipo V Reserva Natural Privada</t>
  </si>
  <si>
    <t>Tipo VI Reserva de Biosfera</t>
  </si>
  <si>
    <t>No. SIGAP</t>
  </si>
  <si>
    <t>Total sin Aps dentro de APs (ha)</t>
  </si>
  <si>
    <t>Total Global  APs (ha)</t>
  </si>
  <si>
    <t>BASE LEGAL</t>
  </si>
  <si>
    <t>Año Cancelación</t>
  </si>
  <si>
    <t>Base Legal del Plan Maestro</t>
  </si>
  <si>
    <t>Resolución de Cancelación.</t>
  </si>
  <si>
    <t>SIGAP-275</t>
  </si>
  <si>
    <t>Finca Sajalal</t>
  </si>
  <si>
    <t>Resolución SE-CONAP 248/2009 y Cancelación 157/2013</t>
  </si>
  <si>
    <t>Daniel Atilano Mendez Carío</t>
  </si>
  <si>
    <t>PRIVADA</t>
  </si>
  <si>
    <t>SIGAP-255</t>
  </si>
  <si>
    <t>Ranchito Alegre</t>
  </si>
  <si>
    <t>Resolución SE-CONAP 482/2008 y Cancelación 164/2013</t>
  </si>
  <si>
    <t>Eddrulfo Isaías Rodríguez Ramírez</t>
  </si>
  <si>
    <t>SIGAP-249</t>
  </si>
  <si>
    <t>Santa Elena y Anexos</t>
  </si>
  <si>
    <t>San Felipe</t>
  </si>
  <si>
    <t>Resolución SE-CONAP 347/2008 y Cancelación 386/2012 y 88/2013</t>
  </si>
  <si>
    <t>Ana Maria Rivera Alvarez de Schomer</t>
  </si>
  <si>
    <t>SIGAP-252</t>
  </si>
  <si>
    <t>Finca Los Chultunes I</t>
  </si>
  <si>
    <t>Resolución SE-CONAP 389/2008 y Cancelación 233/2013</t>
  </si>
  <si>
    <t>Eduardo José Cofiño Kepfer</t>
  </si>
  <si>
    <t>SIGAP-248</t>
  </si>
  <si>
    <t>Finca Los Chultunes II</t>
  </si>
  <si>
    <t>Resolución SE-CONAP 346/2008 y Cancelación 240/2013</t>
  </si>
  <si>
    <t>Nicolas Sebastian Cofiño Berger</t>
  </si>
  <si>
    <t>SIGAP-009</t>
  </si>
  <si>
    <t>El Pilar</t>
  </si>
  <si>
    <t>Resolución HCONAP 16-97 y Desreconocimiento Res. HCONAP 01-15-2013</t>
  </si>
  <si>
    <t>GOBIERNO</t>
  </si>
  <si>
    <t>SI</t>
  </si>
  <si>
    <t>Resolución SE-CONAP 165/2004</t>
  </si>
  <si>
    <t>SIGAP-070</t>
  </si>
  <si>
    <r>
      <rPr>
        <sz val="10"/>
        <color theme="1"/>
        <rFont val="Calibri"/>
        <charset val="134"/>
      </rPr>
      <t xml:space="preserve">Quiriguá  </t>
    </r>
    <r>
      <rPr>
        <sz val="12"/>
        <color indexed="10"/>
        <rFont val="Calibri"/>
        <charset val="134"/>
      </rPr>
      <t>***</t>
    </r>
  </si>
  <si>
    <t>Ac. Ministerial MINEDUC 12-06-70  y Desreconocimiento Res. HCONAP 01-15-2013</t>
  </si>
  <si>
    <t>IDAEH (MICUDE)</t>
  </si>
  <si>
    <t>SIGAP-152</t>
  </si>
  <si>
    <t>Molino Helvetia</t>
  </si>
  <si>
    <t>Resolución SE-CONAP 042/2004 y Cancelación 003/2014</t>
  </si>
  <si>
    <t>Ángel Gabriel Vielman García</t>
  </si>
  <si>
    <t>Resolución SE-CONAP 291/2007</t>
  </si>
  <si>
    <t>SIGAP-037</t>
  </si>
  <si>
    <t>Volcán Atitlán</t>
  </si>
  <si>
    <t>Santiago Atitlán, San Lucas Tolimán</t>
  </si>
  <si>
    <t>Ac.Gub. 21-06-56. Dec.Leg. 4-89 y Desreconocimiento Res. HCONAP 01-08-2014</t>
  </si>
  <si>
    <t>SIGAP-042</t>
  </si>
  <si>
    <t>Volcán Coxliquel</t>
  </si>
  <si>
    <t>San Cristóbal, Totonicapán</t>
  </si>
  <si>
    <t>SIGAP-051</t>
  </si>
  <si>
    <t>Volcán Monte Rico</t>
  </si>
  <si>
    <t>Agua Blanca</t>
  </si>
  <si>
    <t>Área de Uso Múltiple Volcán y Laguna de Ipala</t>
  </si>
  <si>
    <t>Volcán Quezaltepeque</t>
  </si>
  <si>
    <t>Esquipulas, Olopa, Quetzaltepeque</t>
  </si>
  <si>
    <t>SIGAP-055</t>
  </si>
  <si>
    <t>Volcán San Antonio</t>
  </si>
  <si>
    <t>SIGAP-056</t>
  </si>
  <si>
    <t>Volcán San Pedro</t>
  </si>
  <si>
    <t>San Pedro La Laguna</t>
  </si>
  <si>
    <t>SIGAP-066</t>
  </si>
  <si>
    <t>Volcán Tolimán</t>
  </si>
  <si>
    <t>San Lucas Tolimán, Santiago Atitlán</t>
  </si>
  <si>
    <t>SIGAP-072</t>
  </si>
  <si>
    <t>San José La Colonia</t>
  </si>
  <si>
    <t>Cobán, San Pedro Carchá</t>
  </si>
  <si>
    <t>Ac.Gub. 04-76. Desreconocimiento Res. HCONAP 03-05-2014</t>
  </si>
  <si>
    <t>SIGAP-250</t>
  </si>
  <si>
    <t>La Ponderosa</t>
  </si>
  <si>
    <t>Resolución SE-CONAP 382/2008</t>
  </si>
  <si>
    <t>Lidia Catalina Morales de Castellanos</t>
  </si>
  <si>
    <t>Enrrique Rodríguez</t>
  </si>
  <si>
    <t>SIGAP-288</t>
  </si>
  <si>
    <t>Santa Rosa Sumatán</t>
  </si>
  <si>
    <t>Yepocapa</t>
  </si>
  <si>
    <t>Resolución SE-CONAP 277/2010 y 237/2012</t>
  </si>
  <si>
    <t>Paabran, S.A.</t>
  </si>
  <si>
    <t>Resolución SE-CONAP 237/2012</t>
  </si>
  <si>
    <t>2012-2016</t>
  </si>
  <si>
    <t>SIGAP-204</t>
  </si>
  <si>
    <t>Finca Rústica Chimel</t>
  </si>
  <si>
    <t>agua Blanca</t>
  </si>
  <si>
    <t>Resolución SE-CONAP 019/2007</t>
  </si>
  <si>
    <t>ASODICH</t>
  </si>
  <si>
    <t>SIGAP-312</t>
  </si>
  <si>
    <t>Villa Rosita</t>
  </si>
  <si>
    <t>Resolución SE-CONAP 134/2012</t>
  </si>
  <si>
    <t>Eduardo José Calderón Mazariegos</t>
  </si>
  <si>
    <t>Resolución 320/2018             26/10/2018</t>
  </si>
  <si>
    <t>SIGAP-127</t>
  </si>
  <si>
    <t>Santa Rosa y Llano Largo</t>
  </si>
  <si>
    <t>Resolución SE-CONAP 108/2001</t>
  </si>
  <si>
    <t>Calos Alfredo Estrada Heidenreich</t>
  </si>
  <si>
    <t>Resolución 240/2019 05/09/2019</t>
  </si>
  <si>
    <t>SIGAP-220</t>
  </si>
  <si>
    <t>Sacbaquecán</t>
  </si>
  <si>
    <t>Resolución SE-CONAP 171/2007</t>
  </si>
  <si>
    <t xml:space="preserve">Observación: La resta de SIGAP 354 menos 336 áreas es igual a: 18 áreas desinscritas, </t>
  </si>
  <si>
    <t>pero realmente debería ser SIGAP 355 menos 336 áreas es igual a: 19 áreas desinscritas</t>
  </si>
  <si>
    <t>Esto sucede porque el código sigap 054 se le volvió a asignar a la ZVD Volcán de Pacaya</t>
  </si>
  <si>
    <t>CONTROL DE CAMBIOS DE HECTAREAJE DEL SIGAP 2017</t>
  </si>
  <si>
    <t>Saldo inicial (ha)</t>
  </si>
  <si>
    <t>Cambio (ha)</t>
  </si>
  <si>
    <t>Razón</t>
  </si>
  <si>
    <t>Saldo final (ha)</t>
  </si>
  <si>
    <t>Mes y año de cambio</t>
  </si>
  <si>
    <t>Modificación PRM Sibinal, San Marcos, Res. SECONAP 451/2014</t>
  </si>
  <si>
    <t>Reserva Natural Privada Portal de las Minas Res. SECONAP 16/2015</t>
  </si>
  <si>
    <t>Parque Regional Municipal San Rafael Pie de la Cuesta Res. SECONAP 37/2015</t>
  </si>
  <si>
    <t>Reserva Natural Privada El Roblar Res. SECONAP 2014/2015</t>
  </si>
  <si>
    <t xml:space="preserve">Reserva Nautral Privada El Aguacate SECONAP 267/2015 </t>
  </si>
  <si>
    <t>Reserva Natural Privada Iglesia Católica Diocesis del Quiché                                         SECONAP 312/2015</t>
  </si>
  <si>
    <t>Área de Usos Múltiples Hawaii (Dec.Leg.16-2016)</t>
  </si>
  <si>
    <t>Se desinscribe la Reserva Natural Privada La Ponderosa</t>
  </si>
  <si>
    <t>Se desinscribe una parte de la RNP El Retiro, quedando aún 227.30 Ha como Área Protegida</t>
  </si>
  <si>
    <t>Resolución 16/febrero 2016</t>
  </si>
  <si>
    <t>Se adhieren las áreas de los 28 volcánes según resolución de SECONAP</t>
  </si>
  <si>
    <t>Se restan 689.74 has correspondientes a la ZV Definitiva Bahía de santo Tomás y Parque Nacional las Victorias. Resoluciones 4/16/2016 y 6/16/2016</t>
  </si>
  <si>
    <t>09 Noviembre de 2016</t>
  </si>
  <si>
    <t>Se adhieren 3 nuevas áreas protegidas: 1 RNP y 2 PRM</t>
  </si>
  <si>
    <t>Se desinscribe la RNP santa Rosa Sumatán, municipio de Yepocapa, departamento de Chimaltenango</t>
  </si>
  <si>
    <t>29 de Noviembre de 2016</t>
  </si>
  <si>
    <t xml:space="preserve">Para 2016 se incremento </t>
  </si>
  <si>
    <t>Se retiran 54.29 ha propiedad privada perteneciente a María Dolores Ríos Gordillo que se encontraba dentro del PRM Bosque Nuboso La Unión, la Unión, Zacapa. Resolución 621/2016 de fecha 12 de diciembre de 2016</t>
  </si>
  <si>
    <t>23 de Diciembre de 2016</t>
  </si>
  <si>
    <t>Se suman 0.45 ha al Parque Regional Municipal (Quetzaltenango-Saqbé) que no estaban registradas en el listado digital, pero sí aparecen en la Resolución respectiva</t>
  </si>
  <si>
    <t>29 de Diciembre de 2016</t>
  </si>
  <si>
    <t>Santa rosa sumatan 8 diciembre 2016, folio 242</t>
  </si>
  <si>
    <t>Resolución 05/03/2014. Consejo Nacional de Áreas Protegidas. “ Inciso I. Aprobar el listado de cincuenta u nueve coordenadas geográficas (59) en proyección GTM ( Guatemala Transversal Mercator), que permiten delimitar el perímetro de la zona de amortiguamiento de área Protegida Monumento Natural Semuc Champey, la cual comprende una franja de terreno de medio kilómetro (0.5 Kilómetros) de ancho, medida desde el perímetro hacia afuera, que incluye la Zona Primitiva y de Uso Múltiple.” Hectáreas totales del Área Protegida 1,837.55. se suman 123.55 de la zona de amortiguamiento que midio  el RIC</t>
  </si>
  <si>
    <t>09 de febrero de 2017. La resolución fue entregada al DUC en Febrero de 2014 pero no se realizó el cambio de parte de Gabriela Díaz</t>
  </si>
  <si>
    <t>De las 240 ha existentes, se retiran 239.52 ha  del PN Riscos de Momostenango luego de la medición del RIC y según Resolución de HCONAP 03-35-2016 de fecha 6 de diciembre de 2016</t>
  </si>
  <si>
    <t>29 de Marzo de 2017</t>
  </si>
  <si>
    <t>Se adicionan 0.21 ha al PN Ruinas de Iximché luego de la medición del RIC y según Resolución de HCONAP 01-35-2016 de fecha 6 de diciembre de 2016</t>
  </si>
  <si>
    <t>Según Resolución 106/2017 de fecha 27/03/2017, se excluyen 46.02 ha del total Inscrito de 5,661.45 del PRM quetzaltenango (Integrado por los Volcanes santa María, Santiaguito,Siete Orejas y los cerros Candelaria-La Pradera y el Baúl).  Las hectareas excluidas son para uso de un basurero municipal.</t>
  </si>
  <si>
    <t>02 de Mayo de 2017</t>
  </si>
  <si>
    <t>Se Inscribe un nuevo PRM "El Mirador Rey Tepepul" de 3509.91 ha , pero se encuentra dentro de la RUMCLA, por lo tanto no suma al SIGAP</t>
  </si>
  <si>
    <t>19 de julio de 2017</t>
  </si>
  <si>
    <t>Se desinscriben 2000 ha de la RNP Finca Rústica Chimel del departamento de Quiche, según Resolución 258/2017 de fecha 26 de julio de 2017</t>
  </si>
  <si>
    <t>10 de Agosto de 2017</t>
  </si>
  <si>
    <t>Parque Regional Municipal  Twi A´lj Witz. Resolución SE 334/2017 de fecha 06 de noviembre de 2017</t>
  </si>
  <si>
    <t>18 de diciembre de 2017</t>
  </si>
  <si>
    <t>Parque Regional Municipal  "Cerro Grande". Resolución SE 360/2017 de fecha 12 de diciembre de 2017</t>
  </si>
  <si>
    <t>19 de diciembre de 2017</t>
  </si>
  <si>
    <t>Modificación de Hectareas del PRM Astillero Municipal de San Cristobal Cuchu, departamento de San Marcos, según Resolución SE 374/2017 de fecha 20 de diciembre de 2017</t>
  </si>
  <si>
    <t>17 de enero de 2018</t>
  </si>
  <si>
    <t>Las hectareas se ajustan a lo que tiene el polígono registrado en DAGeos</t>
  </si>
  <si>
    <t>14 de febrero de 2018</t>
  </si>
  <si>
    <t>Se incorpora una nueva Área Protegida denominada Reserva Ecológica Manabique-Santa Isabel con la característica de que se encuentra dentro de la RVS Punta de manabique, por lo tanto no suma al SIGAP. Además ésta área se incluyo hasta ahora debido a que no se había anotado antes dentro del listado SIGAP ni tampoco se habia incorporado a los polígonos de áreas Protegidas. Esto luego de recibir oficio de DAGeos 044/2018/LL/cc de fecha 09 de marzo 2018</t>
  </si>
  <si>
    <t>23 de marzo de 2018</t>
  </si>
  <si>
    <t>Se desinscribe la RNP Villa Rosita del Municipio de Esquipulas Palo Gordo, del Departamento de San Marcos</t>
  </si>
  <si>
    <t>Resolución de desinscripción del 26/10/2018</t>
  </si>
  <si>
    <t>Parque Regional  "Bosque Tz'ahab' Tonh". Resolución SE 325/2018 de fecha 08 de noviembre de 2018</t>
  </si>
  <si>
    <t>16 de enero de 2019</t>
  </si>
  <si>
    <t>Parque Regional  "Montaña Negra". Resolución SE 316/2018 de fecha 23 de octubre de 2018</t>
  </si>
  <si>
    <t>07 de febrero de 2019</t>
  </si>
  <si>
    <t>Reserva Natural Privada "La Pastoría".  Resolución SE 06/2019, de fecha 18 de enero de 2019</t>
  </si>
  <si>
    <t>08 de marzo de 2019</t>
  </si>
  <si>
    <t xml:space="preserve">Reserva Natural Privada "Agua Dulce, Resolución SE 05/2019, de fecha 18 de enero de 2019, </t>
  </si>
  <si>
    <t>Parque Regional Municipal Covirey, Resolución 03/2019</t>
  </si>
  <si>
    <t>Reserva Natural Privada Yal Unin Yul Wuitz, Resolución 04/2019</t>
  </si>
  <si>
    <t>Reserva Natural Privada San Diego, Resolución 222/2018</t>
  </si>
  <si>
    <t>05 de agosto de 2019</t>
  </si>
  <si>
    <t>Parque Regional Municipal La Avanzada, Resolución 155/2019</t>
  </si>
  <si>
    <t>Parque Regional Municipal Joya Grande, Resolución 177/2019</t>
  </si>
  <si>
    <t>02 de septiembre de 2019</t>
  </si>
  <si>
    <t>Reserva Natural Privada Aguas Termales Santa María Candelaria, Resolución 311/2019</t>
  </si>
  <si>
    <t>06 de noviembre de 2019</t>
  </si>
  <si>
    <t>Parque Regional Municipal la Montañita, Resolución 327/2019</t>
  </si>
  <si>
    <t>29 de noviembre de 2019</t>
  </si>
  <si>
    <t>NETO 2017</t>
  </si>
  <si>
    <t>Áreas inscritas que NO suman al SIGAP por estar dentro de otras áreas protegidas:</t>
  </si>
  <si>
    <t>Hectáreas</t>
  </si>
  <si>
    <t>Modificacion a extrensión RNP Milán y Anexos Resolución SE 051/2015 (06/07/2015)</t>
  </si>
  <si>
    <t>Modificacion a extrensión RNP Milán y Anexos, Ampliación del Registro Resolución SE-CONAP 309/2015</t>
  </si>
  <si>
    <t>Reserva Natrual Privada Parque Ecológico Corazón del Bosque (Parque Ecológico "UK'UX  K'ACHELAJ") SECONAP 654/2015</t>
  </si>
  <si>
    <t>El Baúl</t>
  </si>
  <si>
    <t>MUNICIPAL</t>
  </si>
  <si>
    <t>Laguna El Pino</t>
  </si>
  <si>
    <t>Concurso Público/Sin Convenio</t>
  </si>
  <si>
    <t>ADMINISTRACIÓN CONJUNTA</t>
  </si>
  <si>
    <t>Concurso público/Convenio</t>
  </si>
  <si>
    <t xml:space="preserve">CONAP </t>
  </si>
  <si>
    <t>Volcán Pacaya y La Laguna de Calderas</t>
  </si>
  <si>
    <t>CONAP / INAB / Municipalidad de San Vicente Pacaya</t>
  </si>
  <si>
    <t>Concurso público/Caducó</t>
  </si>
  <si>
    <t>Ac.Gub. 20-07-63.         Ac. Gub. 21-07-64 Modif. en 74 MINEDUC</t>
  </si>
  <si>
    <t>UNIVERSITARIA</t>
  </si>
  <si>
    <t>Monterrico</t>
  </si>
  <si>
    <t>Dec.Leg. 9-80</t>
  </si>
  <si>
    <t>Reserva de Biosfera</t>
  </si>
  <si>
    <t>Volcanes</t>
  </si>
  <si>
    <t>Bahía de santo Tomas</t>
  </si>
  <si>
    <t xml:space="preserve">Áreas reales con categoría </t>
  </si>
  <si>
    <t>% de Territorio cubierto para antes de 1989</t>
  </si>
  <si>
    <t>CATEGORÍAS DE MANEJO</t>
  </si>
  <si>
    <t>Biotopos</t>
  </si>
  <si>
    <t>Monumento Cultural y Natural</t>
  </si>
  <si>
    <t>Parque Regional Y Área Natural Recreativa</t>
  </si>
  <si>
    <t xml:space="preserve">Reserva Biológica </t>
  </si>
  <si>
    <t>Reserva de la Biósfera</t>
  </si>
  <si>
    <t>Area de Uso Múltiple</t>
  </si>
  <si>
    <t>RNP</t>
  </si>
  <si>
    <t>REGION</t>
  </si>
  <si>
    <t>Ha</t>
  </si>
  <si>
    <t>Región</t>
  </si>
  <si>
    <t>Parque Recreativo Natural</t>
  </si>
  <si>
    <t>Reserva de Biósfera</t>
  </si>
  <si>
    <t>Área de Uso Múltiple</t>
  </si>
  <si>
    <t>ZVD</t>
  </si>
  <si>
    <t>Distribución regional de superficie del SIGAP (%)</t>
  </si>
  <si>
    <t>Número de Áreas</t>
  </si>
  <si>
    <t>Distribución regional del SIGAP en Guatemala</t>
  </si>
  <si>
    <t>Total general</t>
  </si>
  <si>
    <t>Km cuadrados</t>
  </si>
  <si>
    <t>Registro histórico del número y la superficie de las áreas protegidas de Guatemala 1955-2017</t>
  </si>
  <si>
    <t>Año de declaratoria</t>
  </si>
  <si>
    <t>Áreas marinas (acumulado) *</t>
  </si>
  <si>
    <t>Total</t>
  </si>
  <si>
    <t xml:space="preserve">% </t>
  </si>
  <si>
    <t>Incremento anual (ha)</t>
  </si>
  <si>
    <t>Incremento Acumulado</t>
  </si>
  <si>
    <t>Acumulado</t>
  </si>
  <si>
    <t>ha</t>
  </si>
  <si>
    <t xml:space="preserve">No. </t>
  </si>
  <si>
    <t>Valor Unitario</t>
  </si>
  <si>
    <t>Total suma oficial</t>
  </si>
  <si>
    <t>% SIGAP</t>
  </si>
  <si>
    <t>Año declaratoria</t>
  </si>
  <si>
    <t>No. De Áreas</t>
  </si>
  <si>
    <t>x</t>
  </si>
  <si>
    <t>Años</t>
  </si>
  <si>
    <t>No. Áreas</t>
  </si>
  <si>
    <t>Hectareaje</t>
  </si>
  <si>
    <t>TIPO</t>
  </si>
  <si>
    <t>Nombre Categoría de Manejo y ZVD</t>
  </si>
  <si>
    <t>Incluye Aps dentro de Aps (Valor Unitario)</t>
  </si>
  <si>
    <t>Total suma oficial (sin estar dentro de otra área)</t>
  </si>
  <si>
    <t>Ha por Categoría de Manejo</t>
  </si>
  <si>
    <t>% Por Categoría de Manejo</t>
  </si>
  <si>
    <t>I</t>
  </si>
  <si>
    <t>II</t>
  </si>
  <si>
    <t>III</t>
  </si>
  <si>
    <t>Reserva hídrica y forestal</t>
  </si>
  <si>
    <t>Reserva forestal Protectora de Manantiales</t>
  </si>
  <si>
    <t>IV</t>
  </si>
  <si>
    <t>V</t>
  </si>
  <si>
    <t>VI</t>
  </si>
  <si>
    <t>ZV</t>
  </si>
  <si>
    <t>y</t>
  </si>
  <si>
    <t>CONAP/ONG coadministradora</t>
  </si>
  <si>
    <t>CECON/USAC</t>
  </si>
  <si>
    <t>CONAP/INSTITUCIONES DEL ESTADO</t>
  </si>
  <si>
    <t>PROPIETARIOS PRIVADOS</t>
  </si>
  <si>
    <t>OTRAS INSTITUCIONES DEL ESTADO</t>
  </si>
  <si>
    <t>MUNICIPALIDADES</t>
  </si>
  <si>
    <t>AGRUPACIÓN DE ADMINISTRADORES</t>
  </si>
  <si>
    <t>CANTIDAD DE ÁREAS PROTEGIDAS</t>
  </si>
  <si>
    <t>(Total Suma Oficial) EXTENSIÓN (ha)</t>
  </si>
  <si>
    <t>% DEL SIGAP en Ha</t>
  </si>
  <si>
    <t>Se incluye Parque Recreativo Suchitan</t>
  </si>
  <si>
    <t>CONAP/ONG</t>
  </si>
  <si>
    <t>Sierra del Lacandón; Sierra de las Minas; Cerro San Gil; Naciones Unidas; Bocas del Polochic; Ipala</t>
  </si>
  <si>
    <t>6 Biotopos y Monterrico</t>
  </si>
  <si>
    <t>CONAP/Instituciones del Estado</t>
  </si>
  <si>
    <r>
      <rPr>
        <sz val="11"/>
        <color theme="1"/>
        <rFont val="Calibri"/>
        <charset val="134"/>
      </rPr>
      <t xml:space="preserve">Aguateca; dos Pilas; El Ceibal; </t>
    </r>
    <r>
      <rPr>
        <sz val="11"/>
        <color theme="1"/>
        <rFont val="Calibri"/>
        <charset val="134"/>
      </rPr>
      <t xml:space="preserve"> Trifinio</t>
    </r>
  </si>
  <si>
    <t>Propietarios Privados</t>
  </si>
  <si>
    <t>Otras Instituciones del Estado</t>
  </si>
  <si>
    <t>Tikal; Iximché; Laguna del Pino; El Rosario; Las Victorias; PN Vólcán de Pacaya; PN Laguna Lachuá</t>
  </si>
  <si>
    <t>Municipalidades</t>
  </si>
  <si>
    <t>Se incluye: PN Cerro El Baúl; PN Grutas de Lanquín; RF san Lucas Sacanté; RF San Agustín Chahal</t>
  </si>
  <si>
    <t>Referencias:</t>
  </si>
  <si>
    <t>Indefinido pero deben de regularizarse a 10 años, hacer nuevo convenio viendo EVASIGAP y más</t>
  </si>
  <si>
    <t>Debe hacerse un Proceso de Licitación o concurso público por lo mencionado en Decreto</t>
  </si>
  <si>
    <t>Convenio de Coadministración Cancelado</t>
  </si>
  <si>
    <t>Aún no se ha dado la coadministración aunque se haya realizado el convenio. La declaratoria legal fue después</t>
  </si>
  <si>
    <t>No aplica porque es un Parque Regional Municipal</t>
  </si>
  <si>
    <t>Convenio ha Caducado</t>
  </si>
  <si>
    <t>AREAS PROTEGIDAS CON CONVENIO DE COADMINISTRACIÓN</t>
  </si>
  <si>
    <t>TIPO DE CATEGORÍA</t>
  </si>
  <si>
    <t>NOMBRE CATEGORÍA DE MANEJO</t>
  </si>
  <si>
    <t>NOMBRE ÁREA</t>
  </si>
  <si>
    <t>CONVENIO</t>
  </si>
  <si>
    <t>Acuerdo/Decreto/Resolución</t>
  </si>
  <si>
    <t xml:space="preserve">Administración </t>
  </si>
  <si>
    <t>Licitación/ Concurso público</t>
  </si>
  <si>
    <t>Tipo de Consejo descrito  en Acuerdo o Decreto</t>
  </si>
  <si>
    <t xml:space="preserve">FECHA FIRMA Convenio </t>
  </si>
  <si>
    <t>VIGENCIA</t>
  </si>
  <si>
    <t>REGULARIZARSE A:</t>
  </si>
  <si>
    <t>OBSERVACIONES</t>
  </si>
  <si>
    <t xml:space="preserve">PRIORIZACIÓN PARA ATENDER </t>
  </si>
  <si>
    <t>CONAP-DEFENSORES</t>
  </si>
  <si>
    <r>
      <rPr>
        <sz val="11"/>
        <color theme="1"/>
        <rFont val="Calibri"/>
        <charset val="134"/>
      </rPr>
      <t>Decreto 5-90 /</t>
    </r>
    <r>
      <rPr>
        <sz val="11"/>
        <color rgb="FFFF0000"/>
        <rFont val="Calibri"/>
        <charset val="134"/>
      </rPr>
      <t>30 enero 1990</t>
    </r>
  </si>
  <si>
    <t>A SE CONAP como parte de la RBM. Menciona que se adjudica TIKAL y Biotopos</t>
  </si>
  <si>
    <t>Indefinida</t>
  </si>
  <si>
    <r>
      <rPr>
        <sz val="11"/>
        <color theme="1"/>
        <rFont val="Calibri"/>
        <charset val="134"/>
      </rPr>
      <t xml:space="preserve">Deben regularizarse en un año. Debe hacerse nuevo </t>
    </r>
    <r>
      <rPr>
        <b/>
        <sz val="11"/>
        <color theme="1"/>
        <rFont val="Calibri"/>
        <charset val="134"/>
      </rPr>
      <t>convenio de coadministración</t>
    </r>
    <r>
      <rPr>
        <sz val="11"/>
        <color theme="1"/>
        <rFont val="Calibri"/>
        <charset val="134"/>
      </rPr>
      <t xml:space="preserve"> empleando el nuevo reglamento  y con vigencia de 10 años</t>
    </r>
  </si>
  <si>
    <t>Antes de firmar el nuevo convenio debemos analizar si han cumplido lo descrito en el convenio y lo que se menciona en el nuevo reglamento: POAs, EVASIGAP. La Regional debe dictaminar si es procedente firmar nuevo convenio</t>
  </si>
  <si>
    <t>Se envio oficio DDSIGAP97/2017 a Petén solicitando infrome sobre si aplica firmar un nuevo convenio</t>
  </si>
  <si>
    <t>Sur-Oriente (Chiquimula-Jutiapa)</t>
  </si>
  <si>
    <t>CONAP-ADISO</t>
  </si>
  <si>
    <t>Decreto 7-98 de fecha 4 febrero de 1998</t>
  </si>
  <si>
    <t xml:space="preserve">A cargo de  CONAP quien podrá delegarla </t>
  </si>
  <si>
    <r>
      <rPr>
        <b/>
        <sz val="11"/>
        <color theme="1"/>
        <rFont val="Calibri"/>
        <charset val="134"/>
      </rPr>
      <t>Consejo Asesor:</t>
    </r>
    <r>
      <rPr>
        <sz val="11"/>
        <color theme="1"/>
        <rFont val="Calibri"/>
        <charset val="134"/>
      </rPr>
      <t xml:space="preserve"> SE CONAP/Alcaldes Ipala y Agua Blanca/ Gobernadores Chiquimula y Jutiapa. Fijado 30 días después de entrar en vigencia el decreto</t>
    </r>
  </si>
  <si>
    <r>
      <rPr>
        <sz val="11"/>
        <color theme="1"/>
        <rFont val="Calibri"/>
        <charset val="134"/>
      </rPr>
      <t xml:space="preserve">Deben regularizarse en un año. Debe hacerse nuevo </t>
    </r>
    <r>
      <rPr>
        <b/>
        <sz val="11"/>
        <color theme="1"/>
        <rFont val="Calibri"/>
        <charset val="134"/>
      </rPr>
      <t xml:space="preserve">convenio de coadministración </t>
    </r>
    <r>
      <rPr>
        <sz val="11"/>
        <color theme="1"/>
        <rFont val="Calibri"/>
        <charset val="134"/>
      </rPr>
      <t>empleando el nuevo reglamento  y con vigencia de 10 años</t>
    </r>
  </si>
  <si>
    <t>DDSIGAP cOn oficio 145/2017 solicita realizar propuesta de nuevo convenio a ADISO</t>
  </si>
  <si>
    <t>Laguna Lachuá</t>
  </si>
  <si>
    <t>CONAP-MAGA-INAB</t>
  </si>
  <si>
    <r>
      <rPr>
        <sz val="11"/>
        <color theme="1"/>
        <rFont val="Calibri"/>
        <charset val="134"/>
      </rPr>
      <t xml:space="preserve">Disposición del INTA 1976,(Articulo 89 Reformado por Art. 31 del Dec.Leg.110-96Ley 4-89 y 110-96)El Acuerdo </t>
    </r>
    <r>
      <rPr>
        <b/>
        <sz val="11"/>
        <color theme="1"/>
        <rFont val="Calibri"/>
        <charset val="134"/>
      </rPr>
      <t>Gubernativo 719-2003 aprueba la medida legal de la finca nacional Parque Nacional Laguna Lachuá, pero no presenta coordenadas</t>
    </r>
  </si>
  <si>
    <t>CONAP/MAGA/INAB</t>
  </si>
  <si>
    <t>El decreto No menciona como debe ser el proceso. Pero con el nuevo reglamento debe regularizarse</t>
  </si>
  <si>
    <t>NA</t>
  </si>
  <si>
    <t>23 junio 2004 y 24 julio 2006</t>
  </si>
  <si>
    <r>
      <rPr>
        <sz val="11"/>
        <color rgb="FFFF0000"/>
        <rFont val="Calibri"/>
        <charset val="134"/>
      </rPr>
      <t xml:space="preserve">             </t>
    </r>
    <r>
      <rPr>
        <sz val="11"/>
        <color rgb="FF0070C0"/>
        <rFont val="Calibri"/>
        <charset val="134"/>
      </rPr>
      <t>COADMINISTRACIÓN</t>
    </r>
  </si>
  <si>
    <t>INAB debe solicitar firma de nuevo convenio regularizado a 10 años. La Regional debe dictaminar si es procedente firmar nuevo convenio</t>
  </si>
  <si>
    <t>DRAO</t>
  </si>
  <si>
    <t>CONAP-ASAECO-Muni San Martin Sacatepequez</t>
  </si>
  <si>
    <t>Acuerdo Presidencial 21-06-1956</t>
  </si>
  <si>
    <t>MAGA por conducto de Dirección General Forestal</t>
  </si>
  <si>
    <t xml:space="preserve">Cancelado </t>
  </si>
  <si>
    <r>
      <rPr>
        <sz val="11"/>
        <color theme="1"/>
        <rFont val="Calibri"/>
        <charset val="134"/>
      </rPr>
      <t xml:space="preserve">Deben regularizarse en un año. Debe hacerse nuevo </t>
    </r>
    <r>
      <rPr>
        <b/>
        <sz val="11"/>
        <color theme="1"/>
        <rFont val="Calibri"/>
        <charset val="134"/>
      </rPr>
      <t>convenio pero de Apoyo en la Administración conjunta</t>
    </r>
    <r>
      <rPr>
        <sz val="11"/>
        <color theme="1"/>
        <rFont val="Calibri"/>
        <charset val="134"/>
      </rPr>
      <t xml:space="preserve"> empleando el nuevo reglamento  y con vigencia de 10 años</t>
    </r>
  </si>
  <si>
    <t>ASAECO y municipalidad de san Martín, Solicitaron cesar el convenio de coadministración. Para finalizar el proceso solamente hace falta resolución de Secretaría Ejecutiva y notificar al usuario (debería de estar listo en el mes de julio de 2018)</t>
  </si>
  <si>
    <t>DDSIGAP con oficio 147/2017 solicita realizar propuesta de nuevo convenio a ASAECO</t>
  </si>
  <si>
    <t xml:space="preserve">Reserva de Usos Múltiples </t>
  </si>
  <si>
    <t>Río Sarstún</t>
  </si>
  <si>
    <t>Nor-Oriente</t>
  </si>
  <si>
    <t>CONAP-FUNDAECO</t>
  </si>
  <si>
    <t>Decreto 12-2005 de fecha 2 de febrero de 2005</t>
  </si>
  <si>
    <t>A cargo de SE CONAP quien podrá delegarla en un Consejo Ejecutivo Local</t>
  </si>
  <si>
    <r>
      <rPr>
        <b/>
        <i/>
        <sz val="11"/>
        <color theme="1"/>
        <rFont val="Calibri"/>
        <charset val="134"/>
      </rPr>
      <t xml:space="preserve">Menciona proceso de Licitación </t>
    </r>
    <r>
      <rPr>
        <sz val="11"/>
        <color theme="1"/>
        <rFont val="Calibri"/>
        <charset val="134"/>
      </rPr>
      <t>que debía darse después de 3 meses de haberse publicado</t>
    </r>
  </si>
  <si>
    <r>
      <rPr>
        <b/>
        <sz val="11"/>
        <color theme="1"/>
        <rFont val="Calibri"/>
        <charset val="134"/>
      </rPr>
      <t>Consejo Ejecutivo Local</t>
    </r>
    <r>
      <rPr>
        <sz val="11"/>
        <color theme="1"/>
        <rFont val="Calibri"/>
        <charset val="134"/>
      </rPr>
      <t>: SE CONAP/INGUAT/Gober/FUNDAECO/Muni Livingston/Cáma de Industria/OCRET/Comunidades/Pescadores/Entidad que adjudica y legaliza tierras. El Reglamento de la presente Ley debe hacerse en un plazo de 1 año</t>
    </r>
  </si>
  <si>
    <r>
      <rPr>
        <b/>
        <sz val="11"/>
        <color theme="1"/>
        <rFont val="Calibri"/>
        <charset val="134"/>
      </rPr>
      <t xml:space="preserve">Indefinida </t>
    </r>
    <r>
      <rPr>
        <sz val="11"/>
        <color theme="1"/>
        <rFont val="Calibri"/>
        <charset val="134"/>
      </rPr>
      <t>El convenio no es valido, se firmo antes de que saliera el decreto</t>
    </r>
  </si>
  <si>
    <t>CONAP DEBE ELABORAR BASES DE LICITACIÓN</t>
  </si>
  <si>
    <t>Hawaii</t>
  </si>
  <si>
    <t>Sur-Oriente</t>
  </si>
  <si>
    <t>CONAP-ARCAS</t>
  </si>
  <si>
    <t>Decreto 16-2016 / 9 febrero 2016</t>
  </si>
  <si>
    <t>SE CONAP que puede delegarla  a través de Concurso Público</t>
  </si>
  <si>
    <r>
      <rPr>
        <sz val="11"/>
        <color theme="1"/>
        <rFont val="Calibri"/>
        <charset val="134"/>
      </rPr>
      <t xml:space="preserve">Aplicando el nuevo reglamento, debe ser </t>
    </r>
    <r>
      <rPr>
        <b/>
        <i/>
        <sz val="11"/>
        <rFont val="Calibri"/>
        <charset val="134"/>
      </rPr>
      <t>Concurso Público</t>
    </r>
  </si>
  <si>
    <r>
      <rPr>
        <b/>
        <sz val="11"/>
        <color theme="1"/>
        <rFont val="Calibri"/>
        <charset val="134"/>
      </rPr>
      <t>Consejo Ejecutivo Local:</t>
    </r>
    <r>
      <rPr>
        <sz val="11"/>
        <color theme="1"/>
        <rFont val="Calibri"/>
        <charset val="134"/>
      </rPr>
      <t xml:space="preserve"> SE CONAP/Gobernador Santa Rosa/Muni Chiquimulilla/Sector privado/INGUAT/MAGA/ asociación de pescadores/ ARCAS/Comunidades asentadas</t>
    </r>
  </si>
  <si>
    <r>
      <rPr>
        <b/>
        <sz val="11"/>
        <color theme="1"/>
        <rFont val="Calibri"/>
        <charset val="134"/>
      </rPr>
      <t xml:space="preserve">Indefinida   </t>
    </r>
    <r>
      <rPr>
        <sz val="11"/>
        <color theme="1"/>
        <rFont val="Calibri"/>
        <charset val="134"/>
      </rPr>
      <t>El convenio se firmo antes del decreto, No es válido</t>
    </r>
  </si>
  <si>
    <t>CONAP DEBE ELABORAR BASES DE CONCURSO PÚBLICO</t>
  </si>
  <si>
    <t>Trifinio</t>
  </si>
  <si>
    <t>Oriente (Chiquimula)</t>
  </si>
  <si>
    <t>CONAP-PLAN TRIFINIO</t>
  </si>
  <si>
    <t>Ac. Leg. 939-87 /19 octubre 1987</t>
  </si>
  <si>
    <t>Se lo dan al INAFOR quien puede apoyarse en otras instituciones de gobierno, privadas o extranjeras</t>
  </si>
  <si>
    <t>El acuerdo No especifíca. Aplicando el nuevo Reglamento, debe ser un debe regularizarse a 10 años</t>
  </si>
  <si>
    <r>
      <rPr>
        <sz val="11"/>
        <color theme="1"/>
        <rFont val="Calibri"/>
        <charset val="134"/>
      </rPr>
      <t xml:space="preserve">el Primero 18/02/2006 </t>
    </r>
    <r>
      <rPr>
        <b/>
        <sz val="11"/>
        <color theme="1"/>
        <rFont val="Calibri"/>
        <charset val="134"/>
      </rPr>
      <t>indefinido</t>
    </r>
    <r>
      <rPr>
        <sz val="11"/>
        <color theme="1"/>
        <rFont val="Calibri"/>
        <charset val="134"/>
      </rPr>
      <t xml:space="preserve"> y luego 30/11/2010 </t>
    </r>
    <r>
      <rPr>
        <b/>
        <sz val="11"/>
        <color theme="1"/>
        <rFont val="Calibri"/>
        <charset val="134"/>
      </rPr>
      <t>de 5 años</t>
    </r>
  </si>
  <si>
    <t>caducó 30/11/2015</t>
  </si>
  <si>
    <t>Trifino solicitará renovar convenio regularizandose a 10 años. Debe ingresar en Regional respectiva quien debe dictaminar al respecto y luego trasladar a CONAP central</t>
  </si>
  <si>
    <t xml:space="preserve">Parque Nacional </t>
  </si>
  <si>
    <t>Volcán de Pacaya y Laguna de Calderas</t>
  </si>
  <si>
    <t>CONAP-INAB-MUNICIPALIDAD DE SAN VICENTE PACAYA</t>
  </si>
  <si>
    <t>CONAP-INAB</t>
  </si>
  <si>
    <t>El decreto No menciona como debe ser el proceso. Pero con el nuevo reglamento debe regularizarse.</t>
  </si>
  <si>
    <t>caducó agosto 2013</t>
  </si>
  <si>
    <t>INAB puede solicitar convnio de Apoyo en la ADMINISTRACIÓN CONJUNTA A CONAP Y LUEGO puede HACER COADMINISTRACIÓN CON EL MEJOR POSTOR siguiendo el reglamento</t>
  </si>
  <si>
    <t>Laguna del Tigre</t>
  </si>
  <si>
    <t>CONAP-CÁNAN KÁAX</t>
  </si>
  <si>
    <r>
      <rPr>
        <sz val="11"/>
        <color theme="1"/>
        <rFont val="Calibri"/>
        <charset val="134"/>
      </rPr>
      <t>El decreto No menciona como debe ser el proceso.</t>
    </r>
    <r>
      <rPr>
        <b/>
        <sz val="11"/>
        <color theme="1"/>
        <rFont val="Calibri"/>
        <charset val="134"/>
      </rPr>
      <t xml:space="preserve"> Pero es directa de conap</t>
    </r>
  </si>
  <si>
    <t>14/08/1999          06/04/2001</t>
  </si>
  <si>
    <t>Cancelado</t>
  </si>
  <si>
    <t>NO Aplica</t>
  </si>
  <si>
    <t>Punta de Manabique</t>
  </si>
  <si>
    <t>CONAP-(FUNDARY)</t>
  </si>
  <si>
    <r>
      <rPr>
        <sz val="11"/>
        <color theme="1"/>
        <rFont val="Calibri"/>
        <charset val="134"/>
      </rPr>
      <t xml:space="preserve">Decreto 23-2005 </t>
    </r>
    <r>
      <rPr>
        <sz val="11"/>
        <color rgb="FFFF0000"/>
        <rFont val="Calibri"/>
        <charset val="134"/>
      </rPr>
      <t>del 17 de febrero de 2005</t>
    </r>
  </si>
  <si>
    <t>SE CONAP</t>
  </si>
  <si>
    <r>
      <rPr>
        <sz val="11"/>
        <color theme="1"/>
        <rFont val="Calibri"/>
        <charset val="134"/>
      </rPr>
      <t>Acuerdo dice que podrá delegarla</t>
    </r>
    <r>
      <rPr>
        <b/>
        <sz val="11"/>
        <color theme="1"/>
        <rFont val="Calibri"/>
        <charset val="134"/>
      </rPr>
      <t xml:space="preserve"> por licitación</t>
    </r>
  </si>
  <si>
    <r>
      <rPr>
        <b/>
        <sz val="11"/>
        <color theme="1"/>
        <rFont val="Calibri"/>
        <charset val="134"/>
      </rPr>
      <t xml:space="preserve">Consejo Consultivo: </t>
    </r>
    <r>
      <rPr>
        <sz val="11"/>
        <color theme="1"/>
        <rFont val="Calibri"/>
        <charset val="134"/>
      </rPr>
      <t>SECONAP/ Alcalde o alcaldesa de Puerto Barrios/ Gobernador de Izabal/Director de la entidada encargada de la administración/dOS REPRESENTANTES DE LOS COMITES DE DESARROLLO LOCAL/Un representante de los pescadores del área de la Bahía de Amatique/Un representante de los propietarios privados</t>
    </r>
  </si>
  <si>
    <t>Yaxha-Nakum-Naranjo</t>
  </si>
  <si>
    <t>CONAP-A3K</t>
  </si>
  <si>
    <t>Decreto 55-2003/ de fecha19 noviembre 2003</t>
  </si>
  <si>
    <t>A SE CONAP (Diversidad biológica). La administración estrechamente coordinada con la DGPCN del MICUDE (en lo relacionado a lo arqueológico, antropológico e histórico)</t>
  </si>
  <si>
    <r>
      <rPr>
        <b/>
        <sz val="11"/>
        <color theme="1"/>
        <rFont val="Calibri"/>
        <charset val="134"/>
      </rPr>
      <t>Consejo Consultivo:</t>
    </r>
    <r>
      <rPr>
        <sz val="11"/>
        <color theme="1"/>
        <rFont val="Calibri"/>
        <charset val="134"/>
      </rPr>
      <t xml:space="preserve"> SECONAP/ MICUDE o DGPCN/USAC PETEN/INGUAT/Alcalde Flores/Alcalde Melchor/Organizaciones comunitarias. Debe conformarse en un plazo de 180 días y funcionará de a cuerdo a un reglamento aprobado por SE CONAP</t>
    </r>
  </si>
  <si>
    <t>DEBE SER APOYO  EN LA ADMINISTRACIÓN CONJUNTA</t>
  </si>
  <si>
    <r>
      <rPr>
        <sz val="11"/>
        <color theme="1"/>
        <rFont val="Calibri"/>
        <charset val="134"/>
      </rPr>
      <t xml:space="preserve">El convenio firmado dice </t>
    </r>
    <r>
      <rPr>
        <b/>
        <sz val="9"/>
        <color theme="1"/>
        <rFont val="Calibri"/>
        <charset val="134"/>
      </rPr>
      <t xml:space="preserve">CONVENIO INTERINSTITUCIONAL </t>
    </r>
  </si>
  <si>
    <t>APE</t>
  </si>
  <si>
    <t xml:space="preserve">Área de Protección Especial </t>
  </si>
  <si>
    <t>Laguna de Ayarza</t>
  </si>
  <si>
    <t>CONAP-ADES</t>
  </si>
  <si>
    <t>DEBE SER UN CONVENIO DE GESTIÓN COMPARTIDA de 1 o 5 años</t>
  </si>
  <si>
    <t>CONAP-MUNICIPALIDAD DE ZUNIL</t>
  </si>
  <si>
    <t>Resolución 17/96 del 3 de abril de 1996</t>
  </si>
  <si>
    <t xml:space="preserve">La municipalidad de Zunil solicitó cesar el convenio de coadministración. Para finalizar el proceso solamente hace falta resolución de Secretaría Ejecutiva y notificar al usuario (debería de estar listo para el mes de julio de 2018) </t>
  </si>
  <si>
    <t>Debe hacerse un Proceso de Licitación por lo mencionado en Decreto</t>
  </si>
  <si>
    <t>ÁREAS PROTEGIDAS SIN CONVENIO</t>
  </si>
  <si>
    <t>Tipo de Consejo</t>
  </si>
  <si>
    <t>REGULARIZARSE</t>
  </si>
  <si>
    <t>PRIORIZACIÓN PUBLICACIÓN LICITACIÓN/CONCURSO PÚBLICO</t>
  </si>
  <si>
    <t>Central</t>
  </si>
  <si>
    <t>DEFENSORES solicita 30/10/2007 a SE quien devuelve a DUC para que en conjunto se realice convenio</t>
  </si>
  <si>
    <t xml:space="preserve"> Acuerdo Gubernativo 26-05-55</t>
  </si>
  <si>
    <t>El MAGA por conducto de la Dirección General Forestal administrará y protegerá las reservas forestales y fauna silvestre existente y queda facultado para dictar las disposiciones que crea pertinentes.</t>
  </si>
  <si>
    <t>Debe ser Apoyo en la Administración Conjunta</t>
  </si>
  <si>
    <t>FDN puede proponer un convenio de Apoyo en la Administración Conjunta para que conap lo revise, apruebe y firme</t>
  </si>
  <si>
    <t>Bocas del Polochic</t>
  </si>
  <si>
    <t>Decreto 38-96 del 11 de junio de 1996</t>
  </si>
  <si>
    <t>tie</t>
  </si>
  <si>
    <r>
      <rPr>
        <sz val="11"/>
        <color rgb="FF7030A0"/>
        <rFont val="Calibri"/>
        <charset val="134"/>
      </rPr>
      <t xml:space="preserve">FDN se apoyara en un </t>
    </r>
    <r>
      <rPr>
        <b/>
        <sz val="11"/>
        <color theme="1"/>
        <rFont val="Calibri"/>
        <charset val="134"/>
      </rPr>
      <t xml:space="preserve">CONSEJO ASESOR: </t>
    </r>
    <r>
      <rPr>
        <sz val="11"/>
        <color theme="1"/>
        <rFont val="Calibri"/>
        <charset val="134"/>
      </rPr>
      <t xml:space="preserve">1 representante de CONAP/alcalde de El Estor/Gobernador de Izabal o su representante/1 representante de empresas turísticas de el Estor y los Amates/1 representante de las comunidades colindantes </t>
    </r>
  </si>
  <si>
    <r>
      <rPr>
        <sz val="11"/>
        <rFont val="Calibri"/>
        <charset val="134"/>
      </rPr>
      <t xml:space="preserve">CONVENIO A ESTABLECERSE ENTRE CONAP Y FDN SIN CONCURSO Y LICITACIÓN PORQUE EN EL DECRETO DICE DELEGARLA A ELLOS. </t>
    </r>
    <r>
      <rPr>
        <b/>
        <sz val="11"/>
        <rFont val="Calibri"/>
        <charset val="134"/>
      </rPr>
      <t>COADMINISTRACIÓN</t>
    </r>
  </si>
  <si>
    <r>
      <rPr>
        <sz val="11"/>
        <color rgb="FF0070C0"/>
        <rFont val="Calibri"/>
        <charset val="134"/>
      </rPr>
      <t>Al tener documento de respaldo de HCONAP sobre haber delegado a FDN como coadministrador se realizará proceso para la</t>
    </r>
    <r>
      <rPr>
        <sz val="11"/>
        <color theme="1"/>
        <rFont val="Calibri"/>
        <charset val="134"/>
      </rPr>
      <t xml:space="preserve"> </t>
    </r>
    <r>
      <rPr>
        <b/>
        <i/>
        <sz val="11"/>
        <rFont val="Calibri"/>
        <charset val="134"/>
      </rPr>
      <t>COADMINISTRACIÓN</t>
    </r>
  </si>
  <si>
    <t>Actualizar convenio si lo hay</t>
  </si>
  <si>
    <t>Sierra de las Minas</t>
  </si>
  <si>
    <t>Verapaces-Nor-Oriente-Sur-Oriente</t>
  </si>
  <si>
    <t>Decreto 49-90 18 DE SEPTIEMBRE DE 1990</t>
  </si>
  <si>
    <r>
      <rPr>
        <sz val="11"/>
        <color theme="1"/>
        <rFont val="Calibri"/>
        <charset val="134"/>
      </rPr>
      <t xml:space="preserve">El Decreto establece que la </t>
    </r>
    <r>
      <rPr>
        <b/>
        <sz val="11"/>
        <color theme="1"/>
        <rFont val="Calibri"/>
        <charset val="134"/>
      </rPr>
      <t>administración estará a cargo de  una JUNTA DIRECTIVA</t>
    </r>
  </si>
  <si>
    <r>
      <rPr>
        <b/>
        <sz val="11"/>
        <color theme="1"/>
        <rFont val="Calibri"/>
        <charset val="134"/>
      </rPr>
      <t>JUNTA DIRECTIVA</t>
    </r>
    <r>
      <rPr>
        <sz val="11"/>
        <color theme="1"/>
        <rFont val="Calibri"/>
        <charset val="134"/>
      </rPr>
      <t>: SE CONAP/</t>
    </r>
    <r>
      <rPr>
        <b/>
        <sz val="11"/>
        <color rgb="FF7030A0"/>
        <rFont val="Calibri"/>
        <charset val="134"/>
      </rPr>
      <t>FDN ejerce la secretaría ejecutiva</t>
    </r>
    <r>
      <rPr>
        <sz val="11"/>
        <color theme="1"/>
        <rFont val="Calibri"/>
        <charset val="134"/>
      </rPr>
      <t>/ 1 representante de los 4 CODEDES/1 representante de propietarios y poseedores/1 representante de las comunidades indígenas del área</t>
    </r>
  </si>
  <si>
    <t>FUNDAECO solicita el 18/06/2008 renovar convenio</t>
  </si>
  <si>
    <t>Decreto 129-96 de 27 noviembre 1996</t>
  </si>
  <si>
    <r>
      <rPr>
        <sz val="11"/>
        <color theme="1"/>
        <rFont val="Calibri"/>
        <charset val="134"/>
      </rPr>
      <t xml:space="preserve">El Decreto dice que la SE CONAP la delegará en un </t>
    </r>
    <r>
      <rPr>
        <b/>
        <sz val="11"/>
        <color theme="1"/>
        <rFont val="Calibri"/>
        <charset val="134"/>
      </rPr>
      <t>Consejo Ejecutivo Local. Menciona además que la Secretaría Ejecutiva de Cerro San Gil se adjudicará por licitación, siendo CONAP el responsable de bases y el que calificará y hará adjudicación.  Plazo de 2 meses para hacer la adjudicación</t>
    </r>
  </si>
  <si>
    <r>
      <rPr>
        <b/>
        <sz val="11"/>
        <color theme="1"/>
        <rFont val="Calibri"/>
        <charset val="134"/>
      </rPr>
      <t>Consejo Ejectivo Local</t>
    </r>
    <r>
      <rPr>
        <sz val="11"/>
        <color theme="1"/>
        <rFont val="Calibri"/>
        <charset val="134"/>
      </rPr>
      <t xml:space="preserve">: SE CONAP/INGUAT/ Gobernación/Empresa Portuaria/FUNDAECO/INTA/Uno por cada municipio/Camara de Industria/. </t>
    </r>
    <r>
      <rPr>
        <b/>
        <i/>
        <sz val="11"/>
        <color theme="1"/>
        <rFont val="Calibri"/>
        <charset val="134"/>
      </rPr>
      <t>Sino entra a funcionar dicho consejo entonces la SE CONAP fungirá como órgano superior y asumirá las funciones del mismo</t>
    </r>
  </si>
  <si>
    <t>Secretaría Ejecutiva del CONAP otorgó la Secretaría Ejecutiva del Consejo Ejecutivo Local a la entidad FUNDAECO según Resolución 121-97 de fecha 3/12/97</t>
  </si>
  <si>
    <t>Decreto 16-2014 del 13 de mayo de 2014</t>
  </si>
  <si>
    <r>
      <rPr>
        <sz val="11"/>
        <color theme="1"/>
        <rFont val="Calibri"/>
        <charset val="134"/>
      </rPr>
      <t xml:space="preserve">SE CONAP quien se apoyará en un </t>
    </r>
    <r>
      <rPr>
        <b/>
        <sz val="11"/>
        <color theme="1"/>
        <rFont val="Calibri"/>
        <charset val="134"/>
      </rPr>
      <t>Consejo Ejecutivo Local.</t>
    </r>
    <r>
      <rPr>
        <sz val="11"/>
        <color theme="1"/>
        <rFont val="Calibri"/>
        <charset val="134"/>
      </rPr>
      <t xml:space="preserve"> El CONAP podrá otorgar la coadministración. Este consejo elaborará un reglamento interno  en un plazo de 180 días a partir de la vigencia del decreto.</t>
    </r>
  </si>
  <si>
    <r>
      <rPr>
        <sz val="11"/>
        <color theme="1"/>
        <rFont val="Calibri"/>
        <charset val="134"/>
      </rPr>
      <t>El decreto dice que la SE CONAP</t>
    </r>
    <r>
      <rPr>
        <b/>
        <sz val="11"/>
        <color theme="1"/>
        <rFont val="Calibri"/>
        <charset val="134"/>
      </rPr>
      <t xml:space="preserve">  podrá entregar la coadministración a una Secretaría Técnica Local mediante Convocatoria abierta, Concurso público o suscripción de convenio específico. </t>
    </r>
    <r>
      <rPr>
        <sz val="11"/>
        <color theme="1"/>
        <rFont val="Calibri"/>
        <charset val="134"/>
      </rPr>
      <t>Ésta Secretaría técnica será una entidad privada, no lucrativa, dedicada a la conservación de la naturaleza con 5 años de experiencia mínima en AP de Izabal.</t>
    </r>
  </si>
  <si>
    <r>
      <rPr>
        <b/>
        <sz val="11"/>
        <color theme="1"/>
        <rFont val="Calibri"/>
        <charset val="134"/>
      </rPr>
      <t>Consejo Ejectivo Local:</t>
    </r>
    <r>
      <rPr>
        <sz val="11"/>
        <color theme="1"/>
        <rFont val="Calibri"/>
        <charset val="134"/>
      </rPr>
      <t xml:space="preserve"> SE CONAP/ representante municipalidad de Morales/Gobernación Izabal/ 1 representante Organizaciones Ambientales locales/MAGA/Cámara de Industria/2 representantes de comunidades asentadas dentro del área/El secretario de la secretaría Técnica Local</t>
    </r>
  </si>
  <si>
    <t xml:space="preserve">Las bases de concurso público ya fueron elaboradas y trasladadas a la Regional de Nororiente para que continuaran su trámite. </t>
  </si>
  <si>
    <t>Sipacate Naranjo</t>
  </si>
  <si>
    <t>Existe Borrador de Convenio de fecha 13/08/2003 con FUNDAECO pero no oficial</t>
  </si>
  <si>
    <r>
      <rPr>
        <sz val="11"/>
        <color rgb="FFFF0000"/>
        <rFont val="Calibri"/>
        <charset val="134"/>
      </rPr>
      <t>Acuerdo Gubernativo  06-09-1969</t>
    </r>
    <r>
      <rPr>
        <b/>
        <sz val="11"/>
        <color rgb="FFFF0000"/>
        <rFont val="Calibri"/>
        <charset val="134"/>
      </rPr>
      <t xml:space="preserve"> (No es oficial porque NUNCA fue publicado)</t>
    </r>
  </si>
  <si>
    <r>
      <rPr>
        <sz val="11"/>
        <color theme="1"/>
        <rFont val="Calibri"/>
        <charset val="134"/>
      </rPr>
      <t xml:space="preserve">MAGA-Dirección General de Recursos Naturales Renovables-División Forestal- Departamento de Parques Nacionales.  </t>
    </r>
    <r>
      <rPr>
        <b/>
        <sz val="11"/>
        <color theme="1"/>
        <rFont val="Calibri"/>
        <charset val="134"/>
      </rPr>
      <t>CONAP</t>
    </r>
  </si>
  <si>
    <t xml:space="preserve">El Acuerdo no menciona ningún proceso. </t>
  </si>
  <si>
    <t>Las Victoria</t>
  </si>
  <si>
    <t>El Convenio solamente lo firman INAB con Comité para Administración y manejo del Parque</t>
  </si>
  <si>
    <t>Decreto 9-80 del 7 de febrero de 1980</t>
  </si>
  <si>
    <t>MAGA ( artículo 2). INGUAT e IDAEH prestarán su concurso para colaborar con el logro de los fines del área.( Artículo 5). El MAGA elaborará el reglamento respectivo en un plazo no mayor de 90 días.</t>
  </si>
  <si>
    <t>Semuc Champey</t>
  </si>
  <si>
    <t>Decreto 25-2005 de fecha 17 de febrero de 2005</t>
  </si>
  <si>
    <t xml:space="preserve">SE CONAP quien deberá delegarla </t>
  </si>
  <si>
    <r>
      <rPr>
        <b/>
        <sz val="11"/>
        <color theme="1"/>
        <rFont val="Calibri"/>
        <charset val="134"/>
      </rPr>
      <t>Proceso de Licitación Pública</t>
    </r>
    <r>
      <rPr>
        <sz val="11"/>
        <color theme="1"/>
        <rFont val="Calibri"/>
        <charset val="134"/>
      </rPr>
      <t xml:space="preserve"> en una entidad organizada y establecida legalmente, sin fines de lucro, que posea por lo menos 3 años de experiencia en el manejo de AP en el depto. De Alta Verapaz</t>
    </r>
  </si>
  <si>
    <r>
      <rPr>
        <b/>
        <sz val="11"/>
        <color theme="1"/>
        <rFont val="Calibri"/>
        <charset val="134"/>
      </rPr>
      <t xml:space="preserve">CONSEJO DIRECTIVO: debe constituirse en un plazo de 60 días. </t>
    </r>
    <r>
      <rPr>
        <sz val="11"/>
        <color theme="1"/>
        <rFont val="Calibri"/>
        <charset val="134"/>
      </rPr>
      <t>CONAP/Alcalde municipio de Lanquin/1 representante de la entidad encargada de la coadministración/INGUAT/Representante comunidad Semuc-Champey/1 representante de Chicanutz, Semil Chisubin. Este funcionara basado en un Reglamento aprobado por la SE CONAP en un plazo no mayor de 180 días</t>
    </r>
  </si>
  <si>
    <t>La Dirección financiaera comenta que el proceso de Licitación puede iniciarse en Junio de 2017. Después de salir de compromisos con comunidades del área</t>
  </si>
  <si>
    <t>Año</t>
  </si>
  <si>
    <t>No. Guardarrecursos</t>
  </si>
  <si>
    <t>ÁREA PROTEGIDA O UNIDAD TÉCNICA</t>
  </si>
  <si>
    <t>Reserva Forestal Protectora de Manantiales Cerro Alux</t>
  </si>
  <si>
    <t>Oficina Regional Altiplano Central</t>
  </si>
  <si>
    <t>(Reserva de Usos Múltiples Cuenca del Lago Atitlán)</t>
  </si>
  <si>
    <t>Oficina Regional Altiplano Occidental</t>
  </si>
  <si>
    <t>Zona de Veda Volcán Chicabal</t>
  </si>
  <si>
    <t>Reserva Protectora de Manantiales Cerro San Gil</t>
  </si>
  <si>
    <t>Refugio de Vida Silvestre Punta de Manabique</t>
  </si>
  <si>
    <t>Refugio de Vida Silvestre Río Sarstún</t>
  </si>
  <si>
    <t>Refugio de Vida Silvestre Bocas del Polochic</t>
  </si>
  <si>
    <t>Biotopo Protegido Universitario Chocón Machacas</t>
  </si>
  <si>
    <t>Parque Regional Municipal Montaña Chiclera</t>
  </si>
  <si>
    <t>Oficina Regional Nor Oriente</t>
  </si>
  <si>
    <t>Área de Protección Especial Sierra Santa Cruz</t>
  </si>
  <si>
    <t>Parque Nacional Río Dulce</t>
  </si>
  <si>
    <t>Parque Nacional Las Victorias</t>
  </si>
  <si>
    <t>Monumento Natural Semuc Champey</t>
  </si>
  <si>
    <t>Oficina Regional Las Verapaces y Subregional Salamá</t>
  </si>
  <si>
    <t>Parque Nacional Laguna Lachua</t>
  </si>
  <si>
    <t>Oficina Regional Oriente</t>
  </si>
  <si>
    <t>Reserva de Biosfera Sierra de las Minas</t>
  </si>
  <si>
    <t>Reserva de Biosfera Fraternidad-Trifinio</t>
  </si>
  <si>
    <t>Área de Usos Múltiples Monterrico</t>
  </si>
  <si>
    <t>Sector La Barrona</t>
  </si>
  <si>
    <t>Área de Protección Especial Lago de Güija</t>
  </si>
  <si>
    <t>Propuesta de Área Protegida - Hawaii</t>
  </si>
  <si>
    <t>Zona de Veda Volcán Jumay</t>
  </si>
  <si>
    <t>Parque Regional Volcán Suchitán</t>
  </si>
  <si>
    <t>Zona de Veda Volcán  Chingo</t>
  </si>
  <si>
    <t>Zona de Veda Volcán  Alzatate</t>
  </si>
  <si>
    <t>Área de Protección Especial Laguna de Ayarza</t>
  </si>
  <si>
    <t>Parque Nacional Sipacate Naranjo</t>
  </si>
  <si>
    <t>Aldea Churirin, Suchitepequez</t>
  </si>
  <si>
    <t>Aldea El Chico,Manchon Guamuchal.Retalhuleu</t>
  </si>
  <si>
    <t xml:space="preserve">Parque Nacional Sierra del Lacandón </t>
  </si>
  <si>
    <t>Parque Nacional Yaxhá-Nakum-Naranjo</t>
  </si>
  <si>
    <t>Complejos I &amp; II</t>
  </si>
  <si>
    <t>Complejos III &amp; IV</t>
  </si>
  <si>
    <t>Parque Nacional Laguna del Tigre</t>
  </si>
  <si>
    <t>Parque Nacional Mirador - Río Azul</t>
  </si>
  <si>
    <t>Unidad Móvil Reserva de Biósfera Maya -RBM-</t>
  </si>
  <si>
    <t>Unidad de Control y Protección -RBM-</t>
  </si>
  <si>
    <t>Dirección de Control y Vigilancia (2013) -RBM-</t>
  </si>
  <si>
    <t xml:space="preserve">Coordinación de Unidades de Parques, Biotopos y Corredores Biológicos CECON y Asociación de Pesca) </t>
  </si>
  <si>
    <t>Dirección Regional Nor-occidente</t>
  </si>
  <si>
    <t>Dirección Regional Sur-Oriente</t>
  </si>
  <si>
    <t>CANTIDAD ANUAL TOTAL</t>
  </si>
  <si>
    <t>NOMBRE AREA PROTEGIDA</t>
  </si>
  <si>
    <t>TOTAL VISITANTES</t>
  </si>
  <si>
    <t>Parque Nacional Volcán Pacaya</t>
  </si>
  <si>
    <t>Área de Usos Múltiples Volcán y Laguna Ipala</t>
  </si>
  <si>
    <t>Biotopo Protegido Sn. Miguel La Palotada - El Zotz</t>
  </si>
  <si>
    <t>Biotopo Protegido Cerro Cahuí</t>
  </si>
  <si>
    <t>Biotopo Protegido Mario Dary (del quetzal)</t>
  </si>
  <si>
    <t>Área de usos Múltiples Monterrico</t>
  </si>
  <si>
    <t>Parque Nacional Tikal</t>
  </si>
  <si>
    <t>-</t>
  </si>
  <si>
    <t>Parque Nacional Mirador Río Azul y accesos</t>
  </si>
  <si>
    <t>Monumento Cultural Aguateca</t>
  </si>
  <si>
    <t>Monumento Cultural Ceibal</t>
  </si>
  <si>
    <t>Monumento Cultural Iximché</t>
  </si>
  <si>
    <t>Parque Nacional Laguna Lachúa</t>
  </si>
  <si>
    <t>Monumento Cultural Quiriguá</t>
  </si>
  <si>
    <t>Monumento Cultural Takalik Abaj[1]</t>
  </si>
  <si>
    <t>PRESUPUESTO</t>
  </si>
  <si>
    <t>AÑO</t>
  </si>
  <si>
    <t>Asignado</t>
  </si>
  <si>
    <t>Vigente</t>
  </si>
  <si>
    <t>Devengado</t>
  </si>
  <si>
    <t>% Ejecución</t>
  </si>
  <si>
    <t>Radio</t>
  </si>
  <si>
    <t>TV</t>
  </si>
  <si>
    <t>WEB</t>
  </si>
  <si>
    <t>Medios Escritos</t>
  </si>
  <si>
    <t>PINFOR</t>
  </si>
  <si>
    <t>Reforestación</t>
  </si>
  <si>
    <t>Manejo de Bosque Natural (Protección)</t>
  </si>
  <si>
    <t>Manejo de Bosque Natural (Producción)</t>
  </si>
  <si>
    <t>Regeneración natural</t>
  </si>
  <si>
    <t>Total proyectos</t>
  </si>
  <si>
    <t xml:space="preserve">Área total incenti-vada </t>
  </si>
  <si>
    <t>Área (ha)</t>
  </si>
  <si>
    <t>(ha)</t>
  </si>
  <si>
    <t>PINPEP</t>
  </si>
  <si>
    <t>Área Incentivada (Ha)</t>
  </si>
  <si>
    <t>Número de proyectos aprobados</t>
  </si>
  <si>
    <t>Diferencia Ha</t>
  </si>
  <si>
    <t>LISTADO DE ÁREAS DE PROTECCIÓN ESPECIAL (DECRETO 4-89)</t>
  </si>
  <si>
    <t>Ubicación de acuerdo a Decreto 4-89</t>
  </si>
  <si>
    <t>DECLARADA COMO ÁREA PROTEGIDA</t>
  </si>
  <si>
    <t>ESTADO DE LA GESTIÓN DECLARATORIA</t>
  </si>
  <si>
    <t>APE-001</t>
  </si>
  <si>
    <t>Yolnabaj</t>
  </si>
  <si>
    <t>Ubicada en el departamento de Huehuetenango</t>
  </si>
  <si>
    <t>NO</t>
  </si>
  <si>
    <t>APE-002</t>
  </si>
  <si>
    <t>Cuchumatanes</t>
  </si>
  <si>
    <t>Se localiza en los departamentos de Huehuetenango y Quiché</t>
  </si>
  <si>
    <t>PARCIAL</t>
  </si>
  <si>
    <t>Estudio Técnico concluyó declarar áreas de menor extensión. Hay varias declaratorias bajo diferentes categorías de manejo.</t>
  </si>
  <si>
    <t>APE-003</t>
  </si>
  <si>
    <t>El Cabá</t>
  </si>
  <si>
    <t>Situado en el departamento de Quiché</t>
  </si>
  <si>
    <t>Declarada como Reserva de Biósfera Ixil Visis Cabá.</t>
  </si>
  <si>
    <t>APE-004</t>
  </si>
  <si>
    <t>Manchón-Huamachal</t>
  </si>
  <si>
    <t>Localizado en la costa sur de los departamentos de Retalhuleu y San Marcos</t>
  </si>
  <si>
    <t>Estudio Técnico elaborado y presentado al HCONAP. Pendiente socialización y validación. Hay una RNP en el sitio.</t>
  </si>
  <si>
    <t>APE-005</t>
  </si>
  <si>
    <t>Boca Costa de los Volcanes del Suroccidente</t>
  </si>
  <si>
    <t>Suroccidente del País</t>
  </si>
  <si>
    <t>Altiplano Occidental y Costa Sur</t>
  </si>
  <si>
    <t>Existen varias áreas protegidas bajo diferentes categorías de manejo. Principalmente RNP y PRM.</t>
  </si>
  <si>
    <t>APE-006</t>
  </si>
  <si>
    <t>Sierra Aral</t>
  </si>
  <si>
    <t>Situada en el departamento de Izabal</t>
  </si>
  <si>
    <t>Declarada como Reserva Hídrica y Forestal Sierra Caral.</t>
  </si>
  <si>
    <t>APE-007</t>
  </si>
  <si>
    <t>Reserva Ecológica Cerro San Gil</t>
  </si>
  <si>
    <t>Declarada como Reserva Protectora de Manantiales Cerro San Gil.</t>
  </si>
  <si>
    <t>APE-008</t>
  </si>
  <si>
    <t>Situada al norte del departamento de Izabal</t>
  </si>
  <si>
    <t>Declarada como Refugio de Vida Silvestre Punta de Manabique.</t>
  </si>
  <si>
    <t>APE-009</t>
  </si>
  <si>
    <t>Sierra de Santa Cruz</t>
  </si>
  <si>
    <t>Localizada en el departamento de Izabal</t>
  </si>
  <si>
    <t>APE-010</t>
  </si>
  <si>
    <t>Montaña Espíritu Santo</t>
  </si>
  <si>
    <t>Localizada al oriente del departamento de Izabal</t>
  </si>
  <si>
    <t>APE-011</t>
  </si>
  <si>
    <t>Sierra Chinajá</t>
  </si>
  <si>
    <t>Localizada al norte del departamento de Alta Verapaz</t>
  </si>
  <si>
    <t>Estudio Técnico, el estudio no fue aprobado por algunas reparaciones elaboradas por MICUDE la consultoría no integro y presentó. Posteriormente se dio el proceso de adjudicación de tierras dentro del área por lo que ya no es tierra estatal.</t>
  </si>
  <si>
    <t>APE-012</t>
  </si>
  <si>
    <t>Reserva Ecológica El Pino de Poptún</t>
  </si>
  <si>
    <t>Situada en el departamento de Petén</t>
  </si>
  <si>
    <t>Inserta dentro del área declarada de los Complejos III y IV del Sureste de Petén.</t>
  </si>
  <si>
    <t>APE-013</t>
  </si>
  <si>
    <t>Ampliación del Parque Nacional Yaxjá-Yaloch</t>
  </si>
  <si>
    <t>Situado en el municipio de Melchor de Mencos del departamento de Petén</t>
  </si>
  <si>
    <t>Declarada como Parque Nacional Yaxhá-Nakum-Naranjo</t>
  </si>
  <si>
    <t>APE-014</t>
  </si>
  <si>
    <t>Refugio de Vida Silvestre y Monumento Cultural Altar de los Sacrificios, Laguna Ixcohé</t>
  </si>
  <si>
    <t>Se localiza en los municipios de La Libertad y Sayaxché del departamento de Petén</t>
  </si>
  <si>
    <t>APE-015</t>
  </si>
  <si>
    <t>Monumento Natural Semuc-Champey</t>
  </si>
  <si>
    <t>Ubicada en el departamento de Alta Verapaz</t>
  </si>
  <si>
    <t>Declarada como Monumento Natural Semuc Champey.</t>
  </si>
  <si>
    <t>APE-016</t>
  </si>
  <si>
    <t>Cumbre María Tecún</t>
  </si>
  <si>
    <t>Situada en el departamento de Totonicapan</t>
  </si>
  <si>
    <t>APE-017</t>
  </si>
  <si>
    <t>Volcán de Ipala</t>
  </si>
  <si>
    <t>Situado en el municipio de Ipala, departamento de Chiquimula.</t>
  </si>
  <si>
    <t>Declarada como Área de Uso Múltiple Volcán y Laguna de Ipala.</t>
  </si>
  <si>
    <t>APE-018</t>
  </si>
  <si>
    <t>Reserva de la Biósfera Fraternidad</t>
  </si>
  <si>
    <t>Se localiza en el departamento de Chiquimula</t>
  </si>
  <si>
    <t>Declarada como Reserva de Biósfera Trifinio.</t>
  </si>
  <si>
    <t>APE-019</t>
  </si>
  <si>
    <t>En el norte del departamento de Izabal.</t>
  </si>
  <si>
    <t>Declarada como Área de Uso Múltiple Río Sarstún.</t>
  </si>
  <si>
    <t>APE-020</t>
  </si>
  <si>
    <t>Montañas de Tecpán</t>
  </si>
  <si>
    <t>Ubicadas en el departamento de Chimaltenango</t>
  </si>
  <si>
    <t>APE-021</t>
  </si>
  <si>
    <t>Sabanas de San Francisco</t>
  </si>
  <si>
    <t>Sin descripción en el Decreto 4-89</t>
  </si>
  <si>
    <t>APE-022</t>
  </si>
  <si>
    <t>Reservas Ecológicas y Monumentos Naturales constituidos en los conos volcánicos del país</t>
  </si>
  <si>
    <t>Altiplano Occidental, Altiplano Central, Costa Sur, Metropolitana, Suroriente, Oriente</t>
  </si>
  <si>
    <t>Declaradas como Zonas de Veda Definitiva. Algunas se han recategorizado. Existen PRM y RNP.</t>
  </si>
  <si>
    <t>APE-023</t>
  </si>
  <si>
    <t>Xacaxá</t>
  </si>
  <si>
    <t>Ubicada en el departamento de Chimaltenango</t>
  </si>
  <si>
    <t>APE-024</t>
  </si>
  <si>
    <t>Cumbre Alta</t>
  </si>
  <si>
    <t>Ubicada entre los departamentos de Izabal y Zacapa</t>
  </si>
  <si>
    <t>Nororiente y Oriente</t>
  </si>
  <si>
    <t>APE-025</t>
  </si>
  <si>
    <t>Río Chiquibul</t>
  </si>
  <si>
    <t>Recorre los municipios de Dolores, Poptún y Sayaxché del departamento de Petén</t>
  </si>
  <si>
    <t>APE-026</t>
  </si>
  <si>
    <t>Se localiza en el departamento de Petén</t>
  </si>
  <si>
    <t>APE-027</t>
  </si>
  <si>
    <t>Laguna de Río Salinas</t>
  </si>
  <si>
    <t>Localizada en el municipio de Sayaxché del departamento de Petén</t>
  </si>
  <si>
    <t>APE-028</t>
  </si>
  <si>
    <t>Reserva Ecológica Sabana del Sos</t>
  </si>
  <si>
    <t>Situada en el municipio de La Libertad del departamento de Petén</t>
  </si>
  <si>
    <t>APE-029</t>
  </si>
  <si>
    <t>Área de Uso Múiltiple de San Rafael Pixcayá</t>
  </si>
  <si>
    <t>Localizada en el departamento de Chimaltenango</t>
  </si>
  <si>
    <t>APE-030</t>
  </si>
  <si>
    <t>Laguna de Güija</t>
  </si>
  <si>
    <t>Situada en el este del departamento de Jutiapa</t>
  </si>
  <si>
    <t>APE-031</t>
  </si>
  <si>
    <t>San Isidro Cafetales, Cumbre de Chiramay</t>
  </si>
  <si>
    <t>Localizada en el departamento de Chiquimula</t>
  </si>
  <si>
    <t>APE-032</t>
  </si>
  <si>
    <t>Valle de La Arada</t>
  </si>
  <si>
    <t>Se encuentra en el departamento de Chiquimula</t>
  </si>
  <si>
    <t>APE-033</t>
  </si>
  <si>
    <t>Localizada en el departamento de Santa Rosa</t>
  </si>
  <si>
    <t>ESTUDIO TÉCNICO APROBADO POR CONAP. SIN PROPUESTA DE LEY</t>
  </si>
  <si>
    <t>APE-034</t>
  </si>
  <si>
    <t>Laguna Chic-Choc</t>
  </si>
  <si>
    <t>Localizada en el municipio de San Cristobal Verapaz, departamento de Alta Verapaz.</t>
  </si>
  <si>
    <t>APE-035</t>
  </si>
  <si>
    <t>Sitio Arqueológico Abaj-Takalic</t>
  </si>
  <si>
    <t>Situado en el municipio del Asintal del departamento de Retalhuleu</t>
  </si>
  <si>
    <t>APE-036</t>
  </si>
  <si>
    <t>Parque Nacional Mirador Río Azul</t>
  </si>
  <si>
    <t>Ubicado en los municipios de Melchor de mencos, Flores, San José y San Andrés del departamento de Petén</t>
  </si>
  <si>
    <t>FINALIZADA</t>
  </si>
  <si>
    <t>APE-037</t>
  </si>
  <si>
    <t>Reserva de Uso Múltiple Uaxactún-Carmelita</t>
  </si>
  <si>
    <t>Se ubica en parte de los municipios de Melchor de Mencos, San José, Flores y San Andrés, del departamento de Petén</t>
  </si>
  <si>
    <t>APE-038</t>
  </si>
  <si>
    <t>Otros sitios que contribuyan a la formación de corredores biológicos entre estas áreas</t>
  </si>
  <si>
    <t>Correlativo</t>
  </si>
  <si>
    <r>
      <rPr>
        <sz val="8"/>
        <color theme="1"/>
        <rFont val="Calibri"/>
        <charset val="134"/>
      </rPr>
      <t xml:space="preserve">Tikal  </t>
    </r>
    <r>
      <rPr>
        <sz val="8"/>
        <color indexed="10"/>
        <rFont val="Calibri"/>
        <charset val="134"/>
      </rPr>
      <t>***</t>
    </r>
  </si>
  <si>
    <t>En gestión</t>
  </si>
  <si>
    <r>
      <rPr>
        <sz val="8"/>
        <color theme="1"/>
        <rFont val="Calibri"/>
        <charset val="134"/>
      </rPr>
      <t xml:space="preserve">Laguna del Tigre </t>
    </r>
    <r>
      <rPr>
        <sz val="8"/>
        <color indexed="10"/>
        <rFont val="Calibri"/>
        <charset val="134"/>
      </rPr>
      <t>**</t>
    </r>
  </si>
  <si>
    <r>
      <rPr>
        <sz val="8"/>
        <color theme="1"/>
        <rFont val="Calibri"/>
        <charset val="134"/>
      </rPr>
      <t xml:space="preserve">Laguna del Tigre -Río Escondido- </t>
    </r>
    <r>
      <rPr>
        <sz val="8"/>
        <color indexed="10"/>
        <rFont val="Calibri"/>
        <charset val="134"/>
      </rPr>
      <t>**</t>
    </r>
  </si>
  <si>
    <r>
      <rPr>
        <sz val="8"/>
        <color theme="1"/>
        <rFont val="Calibri"/>
        <charset val="134"/>
      </rPr>
      <t xml:space="preserve">Yaxhá - Nakúm - Naranjo </t>
    </r>
    <r>
      <rPr>
        <sz val="8"/>
        <color indexed="10"/>
        <rFont val="Calibri"/>
        <charset val="134"/>
      </rPr>
      <t>**</t>
    </r>
  </si>
  <si>
    <r>
      <rPr>
        <sz val="8"/>
        <rFont val="Calibri"/>
        <charset val="134"/>
      </rPr>
      <t>Maya</t>
    </r>
    <r>
      <rPr>
        <sz val="8"/>
        <color rgb="FFFF0000"/>
        <rFont val="Calibri"/>
        <charset val="134"/>
      </rPr>
      <t>***</t>
    </r>
  </si>
  <si>
    <t xml:space="preserve">Actualizado </t>
  </si>
  <si>
    <r>
      <rPr>
        <sz val="8"/>
        <color theme="1"/>
        <rFont val="Calibri"/>
        <charset val="134"/>
      </rPr>
      <t>Sierra de las Minas</t>
    </r>
    <r>
      <rPr>
        <sz val="8"/>
        <color rgb="FFFF0000"/>
        <rFont val="Calibri"/>
        <charset val="134"/>
      </rPr>
      <t>***</t>
    </r>
  </si>
  <si>
    <r>
      <rPr>
        <sz val="8"/>
        <color theme="1"/>
        <rFont val="Calibri"/>
        <charset val="134"/>
      </rPr>
      <t xml:space="preserve">Bocas del Polochic  </t>
    </r>
    <r>
      <rPr>
        <sz val="8"/>
        <color indexed="10"/>
        <rFont val="Calibri"/>
        <charset val="134"/>
      </rPr>
      <t>**</t>
    </r>
  </si>
  <si>
    <r>
      <rPr>
        <sz val="8"/>
        <color theme="1"/>
        <rFont val="Calibri"/>
        <charset val="134"/>
      </rPr>
      <t xml:space="preserve">Laguna Lachuá  </t>
    </r>
    <r>
      <rPr>
        <sz val="8"/>
        <color indexed="10"/>
        <rFont val="Calibri"/>
        <charset val="134"/>
      </rPr>
      <t>**</t>
    </r>
  </si>
  <si>
    <r>
      <rPr>
        <sz val="8"/>
        <rFont val="Calibri"/>
        <charset val="134"/>
      </rPr>
      <t xml:space="preserve">Punta de Manabique </t>
    </r>
    <r>
      <rPr>
        <sz val="8"/>
        <color indexed="10"/>
        <rFont val="Calibri"/>
        <charset val="134"/>
      </rPr>
      <t>**</t>
    </r>
  </si>
  <si>
    <t>No actualizado</t>
  </si>
  <si>
    <t>Resolución SE 237/2017 de fecha 11/07/2017</t>
  </si>
  <si>
    <t>% del SIGAP</t>
  </si>
  <si>
    <t>Cat. Manejo</t>
  </si>
  <si>
    <t>No. PM</t>
  </si>
  <si>
    <t>En     Actualización</t>
  </si>
  <si>
    <t>No      Actualizado</t>
  </si>
  <si>
    <t>Elaborados por primera vez</t>
  </si>
  <si>
    <t>PN</t>
  </si>
  <si>
    <t>o</t>
  </si>
  <si>
    <t>RBiológica</t>
  </si>
  <si>
    <t>Biotopo P</t>
  </si>
  <si>
    <t>MC</t>
  </si>
  <si>
    <t>AUM</t>
  </si>
  <si>
    <t>RP Manantiales</t>
  </si>
  <si>
    <t>RVS</t>
  </si>
  <si>
    <t>PRyANR</t>
  </si>
  <si>
    <t>RFPM</t>
  </si>
  <si>
    <t>PRM</t>
  </si>
  <si>
    <t>RBiósfera</t>
  </si>
  <si>
    <t>Milán y anexos</t>
  </si>
  <si>
    <t>Plan de Manejo</t>
  </si>
  <si>
    <t>Pompojilá y Peña Flor</t>
  </si>
  <si>
    <t>Santo Tomás Pachuj</t>
  </si>
  <si>
    <t>Tarrales, Vesubio y Chusita</t>
  </si>
  <si>
    <t>Los Andes y santa Bárbara</t>
  </si>
  <si>
    <t>Castaños</t>
  </si>
  <si>
    <t>AREAS PROTEGIDAS LEGALMENTE DELCARADAS CON ESTUDIO TECNICO</t>
  </si>
  <si>
    <t>No. Correlativo</t>
  </si>
  <si>
    <t>No. Archivo</t>
  </si>
  <si>
    <t>CÓDIGO SIGAP</t>
  </si>
  <si>
    <t>Resolución</t>
  </si>
  <si>
    <t>Observación</t>
  </si>
  <si>
    <t>Ubicación</t>
  </si>
  <si>
    <t>Pedir Resolución de Consejo</t>
  </si>
  <si>
    <t>??</t>
  </si>
  <si>
    <t>Centro de documentación CONAP 0481 / también en magnético en DDSIGAP en RBM, compu nueva</t>
  </si>
  <si>
    <r>
      <rPr>
        <sz val="10"/>
        <rFont val="Calibri"/>
        <charset val="134"/>
      </rPr>
      <t xml:space="preserve">Laguna del Tigre </t>
    </r>
    <r>
      <rPr>
        <sz val="12"/>
        <rFont val="Calibri"/>
        <charset val="134"/>
      </rPr>
      <t>**</t>
    </r>
  </si>
  <si>
    <r>
      <rPr>
        <sz val="10"/>
        <rFont val="Calibri"/>
        <charset val="134"/>
      </rPr>
      <t xml:space="preserve">Laguna del Tigre -Río Escondido- </t>
    </r>
    <r>
      <rPr>
        <sz val="12"/>
        <rFont val="Calibri"/>
        <charset val="134"/>
      </rPr>
      <t>**</t>
    </r>
  </si>
  <si>
    <r>
      <rPr>
        <sz val="10"/>
        <rFont val="Calibri"/>
        <charset val="134"/>
      </rPr>
      <t xml:space="preserve">Yaxhá - Nakúm - Naranjo </t>
    </r>
    <r>
      <rPr>
        <sz val="12"/>
        <rFont val="Calibri"/>
        <charset val="134"/>
      </rPr>
      <t>**</t>
    </r>
  </si>
  <si>
    <t>Maya</t>
  </si>
  <si>
    <t>Zonas Núcleo en Decreto 5-90, ZAM en Resolución CONAP XXXX. Otras Zonas en Plan Maestro vigente</t>
  </si>
  <si>
    <t>Centro de Documentación CONAP 3713</t>
  </si>
  <si>
    <t>Antes de la aprobación se determino que INAB debe considerar la medida establecida por el RIC</t>
  </si>
  <si>
    <t>DDSIGAP en magnético, expediente 2013-10733. En magnético en compu nueva</t>
  </si>
  <si>
    <t>DDSIGAP en magnético en compu nueva</t>
  </si>
  <si>
    <t xml:space="preserve">Con financiamiento de Counter Part International año 2012 </t>
  </si>
  <si>
    <t>DDSIGAP en magnético compu nueva y físico</t>
  </si>
  <si>
    <t>FONACON y A3K septiembre 2005, ET-12       DUC 76</t>
  </si>
  <si>
    <t>DDSIGAP en físico</t>
  </si>
  <si>
    <t>RIC?</t>
  </si>
  <si>
    <t>Sierra de las Minas***</t>
  </si>
  <si>
    <r>
      <rPr>
        <sz val="10"/>
        <rFont val="Calibri"/>
        <charset val="134"/>
      </rPr>
      <t xml:space="preserve">Bocas del Polochic  </t>
    </r>
    <r>
      <rPr>
        <sz val="12"/>
        <rFont val="Calibri"/>
        <charset val="134"/>
      </rPr>
      <t>**</t>
    </r>
  </si>
  <si>
    <t>Centro de documentación 1995 CONAP 0494;</t>
  </si>
  <si>
    <t>1994 con observaciones</t>
  </si>
  <si>
    <t>Centro de documentación  CONAP 246</t>
  </si>
  <si>
    <t>Versión no aceptada julio 1993</t>
  </si>
  <si>
    <t>Centro de documentación CONAP 268/ DDSIGAP en magnético, compu nueva</t>
  </si>
  <si>
    <t>En magnético</t>
  </si>
  <si>
    <t>Centro de documentación CONAP 896</t>
  </si>
  <si>
    <t>Centro de Documentación CONAP 1003</t>
  </si>
  <si>
    <r>
      <rPr>
        <sz val="10"/>
        <rFont val="Calibri"/>
        <charset val="134"/>
      </rPr>
      <t xml:space="preserve">Río Sarstun </t>
    </r>
    <r>
      <rPr>
        <sz val="12"/>
        <rFont val="Calibri"/>
        <charset val="134"/>
      </rPr>
      <t>**</t>
    </r>
    <r>
      <rPr>
        <sz val="10"/>
        <rFont val="Calibri"/>
        <charset val="134"/>
      </rPr>
      <t xml:space="preserve">                               </t>
    </r>
  </si>
  <si>
    <t>Centro de documentación CONAP 0496</t>
  </si>
  <si>
    <r>
      <rPr>
        <sz val="10"/>
        <rFont val="Calibri"/>
        <charset val="134"/>
      </rPr>
      <t xml:space="preserve">Punta de Manabique </t>
    </r>
    <r>
      <rPr>
        <sz val="12"/>
        <rFont val="Calibri"/>
        <charset val="134"/>
      </rPr>
      <t>**</t>
    </r>
  </si>
  <si>
    <t>Centro de documentación CONAP 478; 3302;477</t>
  </si>
  <si>
    <t xml:space="preserve">1999 CONAP </t>
  </si>
  <si>
    <t>Con el apoyo financieero de FIIT (Fondo interamericano de Investigación Tropical) Identificado como  E-36</t>
  </si>
  <si>
    <t>DDSIGAP en magnético compu nueva y físico documento E-36</t>
  </si>
  <si>
    <t>Centro de documentación CONAP 0495 y DDSIGAP en tomo de color verde y en magnético en compu nueva</t>
  </si>
  <si>
    <t>01-12-2008 de fecha 24 junio 2007</t>
  </si>
  <si>
    <t>Se deja sin efecto el ET aprobado ALC/70/2002</t>
  </si>
  <si>
    <t>DDSIGAP en físico (ET-05; se presentan 4 documentos)</t>
  </si>
  <si>
    <t>AREAS DE PROTECCIÓN ESPECIAL CON ESTUDIO TECNICO</t>
  </si>
  <si>
    <t>ET-01</t>
  </si>
  <si>
    <t>Manchón Huamuchal</t>
  </si>
  <si>
    <t>Documento del año 2010, con el apoyo financiero del PNUD. Hay dictamen de jurídico en donde se dice haber sido informado del avance. La resolución dice que previo se cumpla con ciertas observaciones</t>
  </si>
  <si>
    <t xml:space="preserve">DDSIGAP en físico (expediente 8747/ 255 folios)  </t>
  </si>
  <si>
    <t xml:space="preserve">ET-03                ET-08                            ET-09                     </t>
  </si>
  <si>
    <t>Documento con observaciones FONACON 2004. Entregan un nuevo documento año 2005.  El ET lo desarrollo ADES (Asociación para el Desarrollo Sostenible)</t>
  </si>
  <si>
    <t>DDSIGAP en magnético en compu nueva y en cd en documentos y en físico</t>
  </si>
  <si>
    <t>ET- 14</t>
  </si>
  <si>
    <t>2-10-2008 de fecha 26-6-2007</t>
  </si>
  <si>
    <t>Pero sin embargo  piden enmiendas. Se hizo con un proyecto FONACON año 2006. Lo realizó la Asociación tercer milenio A3K</t>
  </si>
  <si>
    <t>DDSIGAP en magnético y en físico (3 ejemplares y un folder)</t>
  </si>
  <si>
    <t>Sierra Santa Cruz</t>
  </si>
  <si>
    <t>Se tiene un folder identificado con el número 8936 conteniendo 16 folios. En el inicio se lee que es una propuesta para la elaboración del ET, no es el documento como tal. La solicitud es de fecha 01 de diciembre de 2010. El ET se encuentra en el tomo de color verde, año 1992</t>
  </si>
  <si>
    <t>DDSIGAP en físico folder con 16 folios. Ademas tomo de color verde. También se encuentra en el centro de documentación empastado de color verde</t>
  </si>
  <si>
    <t>Montaña Espiritu Santo</t>
  </si>
  <si>
    <t>El E.T. se encuentra en el tomo de color verde, año 1992</t>
  </si>
  <si>
    <t>DDSIGAP en físico en el tomo de color verde. También se encuentra en el centro de documentación empastado</t>
  </si>
  <si>
    <t>Laguna chichoj</t>
  </si>
  <si>
    <t>Documento con observaciones 2006</t>
  </si>
  <si>
    <t>Centro de documentación CONAP 3207</t>
  </si>
  <si>
    <t>Centro de documentación Libro Verde</t>
  </si>
  <si>
    <t>Sierra de Chinajá</t>
  </si>
  <si>
    <t>UNIDADES DE CONSERVACIÓN CON ESTUDIO TECNICO</t>
  </si>
  <si>
    <t>ET-02</t>
  </si>
  <si>
    <t>Cerro Cruz Maltín</t>
  </si>
  <si>
    <t>Unidad de Conservación</t>
  </si>
  <si>
    <t>FUNDAECO año 2011</t>
  </si>
  <si>
    <t>DDSIGAP en magnético compu nueva y en físico</t>
  </si>
  <si>
    <t>ET-06             ET-07                             ET-10             ET-16             ET-67             ET-117</t>
  </si>
  <si>
    <t>Cerro El AMAY</t>
  </si>
  <si>
    <t>06/09/2005 Aprobaron el estudio</t>
  </si>
  <si>
    <t>FONACON 2004 Y 2005</t>
  </si>
  <si>
    <t>DDSIGAP en magnético compu nueva y en físico (5 documentos)</t>
  </si>
  <si>
    <t>ET-17</t>
  </si>
  <si>
    <t>Montaña El Soco</t>
  </si>
  <si>
    <t>Elaborado por la FAUSAC en el año 2004. Se devuelve con observaciones en la fecha 16 marzo de 2009</t>
  </si>
  <si>
    <t>DDSIGAP en físico (2 documentos)</t>
  </si>
  <si>
    <t>Balam Juyu</t>
  </si>
  <si>
    <t>Laguna de Moyuta</t>
  </si>
  <si>
    <t>Laguna de Pasaco</t>
  </si>
  <si>
    <t>Las Granadillas</t>
  </si>
  <si>
    <t>EVALUACIÓN DE DESEMPEÑO PARA CONSULTORES Y CONTRATISTAS INDIVIDUALES</t>
  </si>
  <si>
    <t>NOMBRE CONSULTOR</t>
  </si>
  <si>
    <t>NOMBRE CONSULTORÍA</t>
  </si>
  <si>
    <t>Intermedia/final</t>
  </si>
  <si>
    <t>FINANCISTA</t>
  </si>
  <si>
    <t>Evaluador</t>
  </si>
  <si>
    <t>VALORACIÓN DEL RENDIMIENTO</t>
  </si>
  <si>
    <t>Oscar Villagrán</t>
  </si>
  <si>
    <t>Diagnóstico y Propuesta de Incentivos Económicos para el Sector Privado y Administradores de Áreas Protegidas para Promover el Ecoturismo en el SIGAP</t>
  </si>
  <si>
    <t>Final</t>
  </si>
  <si>
    <t>GEF Ecoturismo</t>
  </si>
  <si>
    <t>Alejandro Calvente</t>
  </si>
  <si>
    <t>Excelente</t>
  </si>
  <si>
    <t>Marcello Notarianni</t>
  </si>
  <si>
    <t>Consultor internacional para impartir seminario sobre incentivos económicos para el sector privado y administración de Áreas Protegidas para promover el ecoturismo en el SIGAP</t>
  </si>
  <si>
    <t>Ana Luisa Arias Berge</t>
  </si>
  <si>
    <r>
      <rPr>
        <sz val="11"/>
        <color theme="1"/>
        <rFont val="Candara"/>
        <charset val="134"/>
      </rPr>
      <t>Profesional en Turismo para Diseñar el Programa de Capacitación Permanente para Incrementar la Capacidad Técnica de los Administradores de Áreas Protegidas</t>
    </r>
    <r>
      <rPr>
        <b/>
        <sz val="11"/>
        <color theme="1"/>
        <rFont val="Candara"/>
        <charset val="134"/>
      </rPr>
      <t>.</t>
    </r>
  </si>
  <si>
    <t>Eva Maritza sazo Morales</t>
  </si>
  <si>
    <t>Profesional en Educación para Diseñar el Programa de Capacitación Permanenete para Incrementar la Capacidad Técnica de los Administradores de Áreas Protegidas</t>
  </si>
  <si>
    <t>Axel Gómez</t>
  </si>
  <si>
    <t>Establecimiento de línea base de capacidades institucionales de acuerdo a la Ficha de Capacidades Institucionales del Programa de las Naciones Unidas para el Desarrollo para el proyecto “Promoviendo el Ecoturismo para Fortalecer la Sostenibilidad Financiera del Sistema Guatemalteco de Áreas Protegidas – SIGAP –”</t>
  </si>
  <si>
    <t>Mario Martín Velásquez</t>
  </si>
  <si>
    <t>Complementación del Plan Maestro del Parque Nacional  Volcán de Pacaya y Laguna de Calderas</t>
  </si>
  <si>
    <t>Intermedio</t>
  </si>
  <si>
    <t>Municipalidad de san Vicente pacaya</t>
  </si>
  <si>
    <t>Samy Palacios</t>
  </si>
  <si>
    <t>Bueno</t>
  </si>
  <si>
    <t>Daniel Ariano Sánchez</t>
  </si>
  <si>
    <t>Plan Maestro de la Zona de Veda Definitiva Volcán Chicabal. San Martín Sacatepéquez, Quetzaltenango</t>
  </si>
  <si>
    <t>Luis Quiyuch Chin</t>
  </si>
  <si>
    <t>Doris Martínez Melgar</t>
  </si>
  <si>
    <t>Estándares Ambientales y Sistema de Certificación para el Desarrollo del Ecoturismo  y Evaluación del Programa de Entrenamiento para Incrementar la Capacidad Técnica de los Administradores de Áreas Protegidas</t>
  </si>
  <si>
    <t>Ricardo Argueta S</t>
  </si>
  <si>
    <t>Elaboración del Plan Maestro del Parque Regional Municipal Rey Tepepul, Santiago Atitlán, Sololá</t>
  </si>
  <si>
    <t>M Leonor Rodríguez</t>
  </si>
  <si>
    <t>Inscripción en el Sistema Guatemalteco de Áreas Protegidas –SIGAP- y elaboración de Plan Maestro de la Reserva Natural Privada Corazón del Bosque en Santa Lucía Utatlán, Sololá</t>
  </si>
  <si>
    <t>Actualización del Reglamento de Coadministración del SIGAP</t>
  </si>
  <si>
    <t>Alejandro Calvente/ Samy Palacios</t>
  </si>
  <si>
    <t>Julieta Contreras</t>
  </si>
  <si>
    <t>Asistente  Secretarial</t>
  </si>
  <si>
    <t>Sandra Nineth Castañeda Paz</t>
  </si>
  <si>
    <t>Homologación de Instrumentos legales para el Desarrollo del Ecoturismo en Áreas Protegidas</t>
  </si>
  <si>
    <t>Satisfactorio</t>
  </si>
  <si>
    <t>Gustavo Adolfo Santiago Gálvez</t>
  </si>
  <si>
    <t>Elaboración de Guía Práctica para la Recolección e Inversión de Tarifas establecidas en el Normativo para la Gestión y Manejo de la Actividad de Visita en el Sistema Guatemalteco de Áreas Protegidas -SIGAP-</t>
  </si>
  <si>
    <t>Insatisfactorio</t>
  </si>
  <si>
    <t>Plan de Manejo del Sitio Arqueológico Subacuático de samabaj, Reserva de usoso Múltiples Cuenca del lago de Atitlán, sololá</t>
  </si>
  <si>
    <t>Actualización del Plan Maestro del Parque Regional Municipal Astillero Municipal de San Marcos</t>
  </si>
  <si>
    <t>Anabella Marroquín</t>
  </si>
  <si>
    <t>Asistente Técnica en Turismo sostenible</t>
  </si>
  <si>
    <t>Rodrigo Morales</t>
  </si>
  <si>
    <t>Actualización del Plan Maestro del Parque Regional Municipal  (PRM) Astillero Municipal I y II de san Pedro Sacatepéquez</t>
  </si>
  <si>
    <t>Carlos Jhon</t>
  </si>
  <si>
    <t>Plan de Manejo del sitio Arquelógico Subacuático de Samabaj, Reserva de Usos Múltiples Cuenca del Lago de Atitáln, Sololá</t>
  </si>
  <si>
    <t>María Isabel Pérez Bolaños</t>
  </si>
  <si>
    <t>Elaboración y Valoración del Plan de Gestión y Manejo de Visitantes para el Parque Nacional Volcán de Pacaya y Laguna de Calderas</t>
  </si>
  <si>
    <t>Intermedia</t>
  </si>
  <si>
    <t>Lucila Pérez</t>
  </si>
  <si>
    <t>Ángel Gutiérrez</t>
  </si>
  <si>
    <t>Implementación del Proyecto, fortalecimiento del registro unificado de visitantes-RUV- en el sistema guatemalteco de áreas protegidas -SIGAP-</t>
  </si>
  <si>
    <t>Unidades de Conservación (FONACON)</t>
  </si>
  <si>
    <t>Leonor Rodríguez</t>
  </si>
  <si>
    <t>Actualización del Pan Maestro del Parque Regional  (PRM) Canjulá, Tocapote y los maijones</t>
  </si>
  <si>
    <t>CALMECAC</t>
  </si>
  <si>
    <t>Elaboracion del Plan Maestro del Monumento Natural Semuc Champey</t>
  </si>
  <si>
    <t>Dafne Dominguez</t>
  </si>
  <si>
    <t>Estuardo Secaira /Daniel Ariano</t>
  </si>
  <si>
    <t>Elaboración del Plan Maestro de la RBM</t>
  </si>
  <si>
    <t>Fondos el PDP</t>
  </si>
  <si>
    <t>Dafne Dominguez/Samy Palacios</t>
  </si>
  <si>
    <t>Enma Leticia Díaz</t>
  </si>
  <si>
    <t>Actualización del Plan Maestro Volcán y Laguna de Ipala</t>
  </si>
  <si>
    <t>Proyecto Trifinio</t>
  </si>
  <si>
    <t>Jacky Brinker /samy Palacios</t>
  </si>
  <si>
    <t>MSc. Ing. Fernando Luna . Ambiente y Desarrollo Consultores, S. A.</t>
  </si>
  <si>
    <t>Actualizacion Plan Maestro Area de Uso Multiple Atitlan</t>
  </si>
  <si>
    <t>Direccion Regional Altiplano Central</t>
  </si>
  <si>
    <t>22-05 2014</t>
  </si>
  <si>
    <t xml:space="preserve">Fernando Castro </t>
  </si>
  <si>
    <t>Nury Rojas</t>
  </si>
  <si>
    <t>Plan Maestro del Parque Regional y Área Natural Recreativa Volcán Suchitán</t>
  </si>
  <si>
    <t>Proyecto de Cuenca y Agua de Trifinio</t>
  </si>
  <si>
    <t>03 de cotubre 2016</t>
  </si>
  <si>
    <t>Deyssi Rodríguez</t>
  </si>
  <si>
    <t>Carmen Cigarroa</t>
  </si>
  <si>
    <t>Plan Maestro de la Reserva de Biósfera Trifinio</t>
  </si>
  <si>
    <t>03 de octubre 2016</t>
  </si>
  <si>
    <t>Evaluación Intermedia</t>
  </si>
  <si>
    <t>Evaluación  Final</t>
  </si>
  <si>
    <t>RESUMEN POR ADMINISTRADOR DE LAS AREAS LEGALMENTE DECLARADAS</t>
  </si>
  <si>
    <t>ENTIDAD</t>
  </si>
  <si>
    <t xml:space="preserve">Laguna del Tigre -Río Escondido- </t>
  </si>
  <si>
    <t xml:space="preserve">Bocas del Polochic </t>
  </si>
  <si>
    <t xml:space="preserve">Tikal  </t>
  </si>
  <si>
    <t xml:space="preserve">Laguna Lachuá  </t>
  </si>
  <si>
    <t xml:space="preserve">Laguna del Tigre </t>
  </si>
  <si>
    <t xml:space="preserve">Yaxhá - Nakúm - Naranjo </t>
  </si>
  <si>
    <r>
      <rPr>
        <sz val="10"/>
        <rFont val="Calibri"/>
        <charset val="134"/>
      </rPr>
      <t xml:space="preserve">Río Sarstun </t>
    </r>
    <r>
      <rPr>
        <sz val="10"/>
        <rFont val="Calibri"/>
        <charset val="134"/>
      </rPr>
      <t xml:space="preserve">                               </t>
    </r>
  </si>
  <si>
    <t xml:space="preserve">Punta de Manabique </t>
  </si>
  <si>
    <t>RESUMEN INSTRUMENTOS DE GESTIÓN DEL SIGAP PARA AP DE CECON</t>
  </si>
  <si>
    <t>CONVENIOS</t>
  </si>
  <si>
    <t>ET</t>
  </si>
  <si>
    <t>PM</t>
  </si>
  <si>
    <t>POA 2018</t>
  </si>
  <si>
    <t>PGMV</t>
  </si>
  <si>
    <t>Resolución SE-CONAP 144/2006; Resolución SE-CONAP 377/2017</t>
  </si>
  <si>
    <t>Quetzalí</t>
  </si>
  <si>
    <t>No</t>
  </si>
  <si>
    <t>Resolución SECONAP 323/2020</t>
  </si>
  <si>
    <t xml:space="preserve">Resolución SE-CONAP 105/2001 y Resolución SECONAP No.272/2020 </t>
  </si>
  <si>
    <t>Se actualizó la delimitación del polígono según Resolución SECONAP No.272/2020  de 45.50 hectáreas pasó a 50.1716 hectáreas</t>
  </si>
  <si>
    <t>SIGAP-371</t>
  </si>
  <si>
    <t>Bosque Palewitz</t>
  </si>
  <si>
    <t>Resolución 358/2020</t>
  </si>
  <si>
    <t>2019-83143</t>
  </si>
  <si>
    <t>Cantidad de áreas por Regional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</si>
</sst>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0.000"/>
    <numFmt numFmtId="166" formatCode="_(* #,##0.00_);_(* \(#,##0.00\);_(* &quot;-&quot;?_);_(@_)"/>
    <numFmt numFmtId="167" formatCode="#,##0.0000"/>
    <numFmt numFmtId="168" formatCode="_(* #,##0.0_);_(* \(#,##0.0\);_(* &quot;-&quot;?_);_(@_)"/>
    <numFmt numFmtId="169" formatCode="#,##0.00000"/>
    <numFmt numFmtId="170" formatCode="_(&quot;$&quot;* #,##0.00_);_(&quot;$&quot;* \(#,##0.00\);_(&quot;$&quot;* &quot;-&quot;??_);_(@_)"/>
    <numFmt numFmtId="171" formatCode="#,##0.000000"/>
    <numFmt numFmtId="172" formatCode="#,##0.0"/>
    <numFmt numFmtId="173" formatCode="_(* #,##0_);_(* \(#,##0\);_(* &quot;-&quot;??_);_(@_)"/>
    <numFmt numFmtId="174" formatCode="yyyy"/>
    <numFmt numFmtId="175" formatCode="0.0000"/>
    <numFmt numFmtId="176" formatCode="0.000"/>
  </numFmts>
  <fonts count="112">
    <font>
      <sz val="11"/>
      <color theme="1"/>
      <name val="Calibri"/>
      <charset val="134"/>
      <scheme val="minor"/>
    </font>
    <font>
      <sz val="18"/>
      <color theme="1"/>
      <name val="Calibri"/>
      <charset val="134"/>
      <scheme val="minor"/>
    </font>
    <font>
      <b/>
      <sz val="10"/>
      <name val="Calibri"/>
      <charset val="134"/>
      <scheme val="minor"/>
    </font>
    <font>
      <sz val="10"/>
      <color theme="1"/>
      <name val="Calibri"/>
      <charset val="134"/>
      <scheme val="minor"/>
    </font>
    <font>
      <sz val="10"/>
      <name val="Calibri"/>
      <charset val="134"/>
      <scheme val="minor"/>
    </font>
    <font>
      <b/>
      <sz val="10"/>
      <color theme="1"/>
      <name val="Calibri"/>
      <charset val="134"/>
      <scheme val="minor"/>
    </font>
    <font>
      <sz val="10"/>
      <color rgb="FFFF0000"/>
      <name val="Calibri"/>
      <charset val="134"/>
      <scheme val="minor"/>
    </font>
    <font>
      <sz val="8"/>
      <name val="Calibri"/>
      <charset val="134"/>
      <scheme val="minor"/>
    </font>
    <font>
      <sz val="8"/>
      <color theme="1"/>
      <name val="Calibri"/>
      <charset val="134"/>
      <scheme val="minor"/>
    </font>
    <font>
      <b/>
      <sz val="11"/>
      <name val="Calibri"/>
      <charset val="134"/>
      <scheme val="minor"/>
    </font>
    <font>
      <b/>
      <sz val="12"/>
      <name val="Calibri"/>
      <charset val="134"/>
      <scheme val="minor"/>
    </font>
    <font>
      <sz val="9"/>
      <name val="Calibri"/>
      <charset val="134"/>
      <scheme val="minor"/>
    </font>
    <font>
      <sz val="10"/>
      <color rgb="FFC00000"/>
      <name val="Calibri"/>
      <charset val="134"/>
      <scheme val="minor"/>
    </font>
    <font>
      <sz val="9"/>
      <color theme="1"/>
      <name val="Calibri"/>
      <charset val="134"/>
      <scheme val="minor"/>
    </font>
    <font>
      <sz val="10"/>
      <color indexed="8"/>
      <name val="Calibri"/>
      <charset val="134"/>
      <scheme val="minor"/>
    </font>
    <font>
      <b/>
      <sz val="11"/>
      <color theme="1"/>
      <name val="Candara"/>
      <charset val="134"/>
    </font>
    <font>
      <sz val="11"/>
      <color theme="1"/>
      <name val="Candara"/>
      <charset val="134"/>
    </font>
    <font>
      <sz val="11"/>
      <color rgb="FFFF0000"/>
      <name val="Candara"/>
      <charset val="134"/>
    </font>
    <font>
      <sz val="20"/>
      <color theme="1"/>
      <name val="Calibri"/>
      <charset val="134"/>
      <scheme val="minor"/>
    </font>
    <font>
      <b/>
      <sz val="9"/>
      <name val="Calibri"/>
      <charset val="134"/>
      <scheme val="minor"/>
    </font>
    <font>
      <b/>
      <sz val="8"/>
      <name val="Calibri"/>
      <charset val="134"/>
      <scheme val="minor"/>
    </font>
    <font>
      <b/>
      <sz val="11"/>
      <color indexed="8"/>
      <name val="Calibri"/>
      <charset val="134"/>
      <scheme val="minor"/>
    </font>
    <font>
      <b/>
      <sz val="10"/>
      <color indexed="8"/>
      <name val="Calibri"/>
      <charset val="134"/>
      <scheme val="minor"/>
    </font>
    <font>
      <b/>
      <sz val="11"/>
      <color theme="1"/>
      <name val="Calibri"/>
      <charset val="134"/>
      <scheme val="minor"/>
    </font>
    <font>
      <b/>
      <sz val="10"/>
      <color indexed="10"/>
      <name val="Calibri"/>
      <charset val="134"/>
      <scheme val="minor"/>
    </font>
    <font>
      <sz val="8"/>
      <color rgb="FFFF0000"/>
      <name val="Calibri"/>
      <charset val="134"/>
      <scheme val="minor"/>
    </font>
    <font>
      <sz val="10"/>
      <color indexed="10"/>
      <name val="Calibri"/>
      <charset val="134"/>
      <scheme val="minor"/>
    </font>
    <font>
      <b/>
      <sz val="8"/>
      <color theme="1"/>
      <name val="Calibri"/>
      <charset val="134"/>
      <scheme val="minor"/>
    </font>
    <font>
      <sz val="8"/>
      <color indexed="8"/>
      <name val="Calibri"/>
      <charset val="134"/>
      <scheme val="minor"/>
    </font>
    <font>
      <b/>
      <sz val="8"/>
      <color indexed="8"/>
      <name val="Calibri"/>
      <charset val="134"/>
      <scheme val="minor"/>
    </font>
    <font>
      <b/>
      <sz val="8"/>
      <color indexed="10"/>
      <name val="Calibri"/>
      <charset val="134"/>
      <scheme val="minor"/>
    </font>
    <font>
      <sz val="8"/>
      <color rgb="FFC00000"/>
      <name val="Calibri"/>
      <charset val="134"/>
      <scheme val="minor"/>
    </font>
    <font>
      <sz val="8"/>
      <color indexed="10"/>
      <name val="Calibri"/>
      <charset val="134"/>
      <scheme val="minor"/>
    </font>
    <font>
      <sz val="8"/>
      <color rgb="FF000000"/>
      <name val="Calibri"/>
      <charset val="134"/>
      <scheme val="minor"/>
    </font>
    <font>
      <b/>
      <sz val="7"/>
      <color theme="1"/>
      <name val="Calibri"/>
      <charset val="134"/>
      <scheme val="minor"/>
    </font>
    <font>
      <sz val="11"/>
      <name val="Calibri"/>
      <charset val="134"/>
      <scheme val="minor"/>
    </font>
    <font>
      <b/>
      <sz val="11"/>
      <color rgb="FF00B0F0"/>
      <name val="Calibri"/>
      <charset val="134"/>
      <scheme val="minor"/>
    </font>
    <font>
      <b/>
      <sz val="14"/>
      <color theme="1"/>
      <name val="Calibri"/>
      <charset val="134"/>
      <scheme val="minor"/>
    </font>
    <font>
      <sz val="11"/>
      <color rgb="FF0070C0"/>
      <name val="Calibri"/>
      <charset val="134"/>
      <scheme val="minor"/>
    </font>
    <font>
      <sz val="11"/>
      <color rgb="FFFF0000"/>
      <name val="Calibri"/>
      <charset val="134"/>
      <scheme val="minor"/>
    </font>
    <font>
      <b/>
      <sz val="11"/>
      <color rgb="FFFFFFFF"/>
      <name val="Arial"/>
      <charset val="134"/>
    </font>
    <font>
      <sz val="12"/>
      <color rgb="FF000000"/>
      <name val="Arial"/>
      <charset val="134"/>
    </font>
    <font>
      <b/>
      <sz val="11"/>
      <color theme="1"/>
      <name val="Arial"/>
      <charset val="134"/>
    </font>
    <font>
      <sz val="10"/>
      <color rgb="FF000000"/>
      <name val="Arial"/>
      <charset val="134"/>
    </font>
    <font>
      <b/>
      <sz val="6"/>
      <color rgb="FF000000"/>
      <name val="Arial"/>
      <charset val="134"/>
    </font>
    <font>
      <b/>
      <sz val="8"/>
      <color rgb="FF000000"/>
      <name val="Arial"/>
      <charset val="134"/>
    </font>
    <font>
      <sz val="8"/>
      <color rgb="FF000000"/>
      <name val="Arial"/>
      <charset val="134"/>
    </font>
    <font>
      <sz val="10"/>
      <color rgb="FFFFFFFF"/>
      <name val="Calibri"/>
      <charset val="134"/>
    </font>
    <font>
      <b/>
      <sz val="10"/>
      <color theme="1"/>
      <name val="Calibri"/>
      <charset val="134"/>
    </font>
    <font>
      <sz val="10"/>
      <color theme="1"/>
      <name val="Calibri"/>
      <charset val="134"/>
    </font>
    <font>
      <sz val="10"/>
      <name val="Cambria"/>
      <charset val="134"/>
      <scheme val="major"/>
    </font>
    <font>
      <b/>
      <sz val="10"/>
      <color rgb="FF000000"/>
      <name val="Calibri"/>
      <charset val="134"/>
    </font>
    <font>
      <u/>
      <sz val="11"/>
      <color theme="10"/>
      <name val="Calibri"/>
      <charset val="134"/>
      <scheme val="minor"/>
    </font>
    <font>
      <sz val="11"/>
      <color theme="1"/>
      <name val="Arial"/>
      <charset val="134"/>
    </font>
    <font>
      <b/>
      <sz val="10"/>
      <color rgb="FF000000"/>
      <name val="Arial"/>
      <charset val="134"/>
    </font>
    <font>
      <b/>
      <sz val="11"/>
      <color rgb="FF000000"/>
      <name val="Arial"/>
      <charset val="134"/>
    </font>
    <font>
      <sz val="26"/>
      <color theme="1"/>
      <name val="Calibri"/>
      <charset val="134"/>
      <scheme val="minor"/>
    </font>
    <font>
      <b/>
      <sz val="11"/>
      <color rgb="FFFF0000"/>
      <name val="Calibri"/>
      <charset val="134"/>
      <scheme val="minor"/>
    </font>
    <font>
      <b/>
      <sz val="11"/>
      <color rgb="FF0070C0"/>
      <name val="Calibri"/>
      <charset val="134"/>
      <scheme val="minor"/>
    </font>
    <font>
      <sz val="14"/>
      <color theme="1"/>
      <name val="Calibri"/>
      <charset val="134"/>
      <scheme val="minor"/>
    </font>
    <font>
      <b/>
      <sz val="26"/>
      <color theme="1"/>
      <name val="Candara"/>
      <charset val="134"/>
    </font>
    <font>
      <b/>
      <sz val="12"/>
      <color theme="1"/>
      <name val="Calibri"/>
      <charset val="134"/>
      <scheme val="minor"/>
    </font>
    <font>
      <sz val="9"/>
      <color rgb="FF0070C0"/>
      <name val="Candara"/>
      <charset val="134"/>
    </font>
    <font>
      <sz val="9"/>
      <name val="Candara"/>
      <charset val="134"/>
    </font>
    <font>
      <b/>
      <sz val="10"/>
      <name val="Candara"/>
      <charset val="134"/>
    </font>
    <font>
      <b/>
      <sz val="9"/>
      <color rgb="FF000000"/>
      <name val="Candara"/>
      <charset val="134"/>
    </font>
    <font>
      <b/>
      <i/>
      <sz val="8"/>
      <color theme="1"/>
      <name val="Calibri"/>
      <charset val="134"/>
      <scheme val="minor"/>
    </font>
    <font>
      <b/>
      <sz val="10"/>
      <name val="Calibri"/>
      <charset val="134"/>
    </font>
    <font>
      <b/>
      <sz val="16"/>
      <color rgb="FF000000"/>
      <name val="Calibri"/>
      <charset val="134"/>
      <scheme val="minor"/>
    </font>
    <font>
      <sz val="10"/>
      <color rgb="FF0070C0"/>
      <name val="Calibri"/>
      <charset val="134"/>
      <scheme val="minor"/>
    </font>
    <font>
      <sz val="11"/>
      <color theme="0"/>
      <name val="Calibri"/>
      <charset val="134"/>
      <scheme val="minor"/>
    </font>
    <font>
      <b/>
      <i/>
      <sz val="11"/>
      <color theme="1"/>
      <name val="Calibri"/>
      <charset val="134"/>
      <scheme val="minor"/>
    </font>
    <font>
      <b/>
      <sz val="10"/>
      <color rgb="FF00B050"/>
      <name val="Calibri"/>
      <charset val="134"/>
      <scheme val="minor"/>
    </font>
    <font>
      <sz val="10"/>
      <color rgb="FF00B050"/>
      <name val="Calibri"/>
      <charset val="134"/>
      <scheme val="minor"/>
    </font>
    <font>
      <sz val="9"/>
      <color indexed="8"/>
      <name val="Calibri"/>
      <charset val="134"/>
      <scheme val="minor"/>
    </font>
    <font>
      <sz val="10"/>
      <color rgb="FF000000"/>
      <name val="Calibri"/>
      <charset val="134"/>
      <scheme val="minor"/>
    </font>
    <font>
      <b/>
      <sz val="11"/>
      <color indexed="10"/>
      <name val="Calibri"/>
      <charset val="134"/>
      <scheme val="minor"/>
    </font>
    <font>
      <b/>
      <sz val="10"/>
      <color rgb="FFFF0000"/>
      <name val="Calibri"/>
      <charset val="134"/>
      <scheme val="minor"/>
    </font>
    <font>
      <b/>
      <sz val="12"/>
      <color rgb="FFFFFF00"/>
      <name val="Calibri"/>
      <charset val="134"/>
      <scheme val="minor"/>
    </font>
    <font>
      <sz val="9"/>
      <color rgb="FFFFFF00"/>
      <name val="Calibri"/>
      <charset val="134"/>
      <scheme val="minor"/>
    </font>
    <font>
      <sz val="11"/>
      <color rgb="FFFFFF00"/>
      <name val="Calibri"/>
      <charset val="134"/>
      <scheme val="minor"/>
    </font>
    <font>
      <b/>
      <sz val="9"/>
      <color rgb="FFFFFF00"/>
      <name val="Calibri"/>
      <charset val="134"/>
      <scheme val="minor"/>
    </font>
    <font>
      <b/>
      <sz val="11"/>
      <color rgb="FFFFFF00"/>
      <name val="Calibri"/>
      <charset val="134"/>
      <scheme val="minor"/>
    </font>
    <font>
      <b/>
      <sz val="10"/>
      <color rgb="FFFFFF00"/>
      <name val="Calibri"/>
      <charset val="134"/>
      <scheme val="minor"/>
    </font>
    <font>
      <sz val="10"/>
      <name val="Arial"/>
      <charset val="134"/>
    </font>
    <font>
      <sz val="10"/>
      <color indexed="8"/>
      <name val="MS Sans Serif"/>
      <charset val="134"/>
    </font>
    <font>
      <sz val="10"/>
      <name val="Calibri"/>
      <charset val="134"/>
    </font>
    <font>
      <sz val="12"/>
      <color indexed="10"/>
      <name val="Calibri"/>
      <charset val="134"/>
    </font>
    <font>
      <sz val="12"/>
      <name val="Calibri"/>
      <charset val="134"/>
    </font>
    <font>
      <sz val="10"/>
      <color rgb="FFFF0000"/>
      <name val="Calibri"/>
      <charset val="134"/>
    </font>
    <font>
      <sz val="8"/>
      <color theme="1"/>
      <name val="Calibri"/>
      <charset val="134"/>
    </font>
    <font>
      <sz val="8"/>
      <color indexed="10"/>
      <name val="Calibri"/>
      <charset val="134"/>
    </font>
    <font>
      <sz val="8"/>
      <name val="Calibri"/>
      <charset val="134"/>
    </font>
    <font>
      <sz val="8"/>
      <color rgb="FFFF0000"/>
      <name val="Calibri"/>
      <charset val="134"/>
    </font>
    <font>
      <sz val="11"/>
      <color rgb="FF7030A0"/>
      <name val="Calibri"/>
      <charset val="134"/>
    </font>
    <font>
      <b/>
      <sz val="11"/>
      <color theme="1"/>
      <name val="Calibri"/>
      <charset val="134"/>
    </font>
    <font>
      <sz val="11"/>
      <color theme="1"/>
      <name val="Calibri"/>
      <charset val="134"/>
    </font>
    <font>
      <sz val="11"/>
      <name val="Calibri"/>
      <charset val="134"/>
    </font>
    <font>
      <b/>
      <sz val="11"/>
      <name val="Calibri"/>
      <charset val="134"/>
    </font>
    <font>
      <sz val="11"/>
      <color rgb="FF0070C0"/>
      <name val="Calibri"/>
      <charset val="134"/>
    </font>
    <font>
      <b/>
      <i/>
      <sz val="11"/>
      <name val="Calibri"/>
      <charset val="134"/>
    </font>
    <font>
      <b/>
      <sz val="11"/>
      <color rgb="FF7030A0"/>
      <name val="Calibri"/>
      <charset val="134"/>
    </font>
    <font>
      <b/>
      <i/>
      <sz val="11"/>
      <color theme="1"/>
      <name val="Calibri"/>
      <charset val="134"/>
    </font>
    <font>
      <sz val="11"/>
      <color rgb="FFFF0000"/>
      <name val="Calibri"/>
      <charset val="134"/>
    </font>
    <font>
      <b/>
      <sz val="11"/>
      <color rgb="FFFF0000"/>
      <name val="Calibri"/>
      <charset val="134"/>
    </font>
    <font>
      <b/>
      <sz val="9"/>
      <color theme="1"/>
      <name val="Calibri"/>
      <charset val="134"/>
    </font>
    <font>
      <sz val="10"/>
      <color indexed="10"/>
      <name val="Calibri"/>
      <charset val="134"/>
    </font>
    <font>
      <i/>
      <sz val="10"/>
      <name val="Calibri"/>
      <charset val="134"/>
    </font>
    <font>
      <sz val="11"/>
      <color theme="1"/>
      <name val="Calibri"/>
      <charset val="134"/>
      <scheme val="minor"/>
    </font>
    <font>
      <sz val="9"/>
      <color indexed="81"/>
      <name val="宋体"/>
      <charset val="134"/>
    </font>
    <font>
      <sz val="9"/>
      <color indexed="81"/>
      <name val="Tahoma"/>
      <charset val="1"/>
    </font>
    <font>
      <b/>
      <sz val="9"/>
      <color indexed="81"/>
      <name val="Tahoma"/>
      <charset val="1"/>
    </font>
  </fonts>
  <fills count="33">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9" tint="-0.249977111117893"/>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6" tint="0.39994506668294322"/>
        <bgColor indexed="64"/>
      </patternFill>
    </fill>
    <fill>
      <patternFill patternType="solid">
        <fgColor theme="9" tint="0.39994506668294322"/>
        <bgColor indexed="64"/>
      </patternFill>
    </fill>
    <fill>
      <patternFill patternType="solid">
        <fgColor theme="4" tint="0.59999389629810485"/>
        <bgColor indexed="64"/>
      </patternFill>
    </fill>
    <fill>
      <patternFill patternType="solid">
        <fgColor rgb="FFB14C1D"/>
        <bgColor indexed="64"/>
      </patternFill>
    </fill>
    <fill>
      <patternFill patternType="solid">
        <fgColor rgb="FFB83D68"/>
        <bgColor indexed="64"/>
      </patternFill>
    </fill>
    <fill>
      <patternFill patternType="solid">
        <fgColor rgb="FFEECDD9"/>
        <bgColor indexed="64"/>
      </patternFill>
    </fill>
    <fill>
      <patternFill patternType="solid">
        <fgColor rgb="FFDE9BB2"/>
        <bgColor indexed="64"/>
      </patternFill>
    </fill>
    <fill>
      <patternFill patternType="solid">
        <fgColor theme="7" tint="0.3999450666829432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9"/>
        <bgColor indexed="64"/>
      </patternFill>
    </fill>
    <fill>
      <patternFill patternType="solid">
        <fgColor theme="9" tint="0.79995117038483843"/>
        <bgColor indexed="64"/>
      </patternFill>
    </fill>
    <fill>
      <patternFill patternType="solid">
        <fgColor theme="3" tint="0.79995117038483843"/>
        <bgColor indexed="64"/>
      </patternFill>
    </fill>
    <fill>
      <patternFill patternType="solid">
        <fgColor theme="5" tint="0.39994506668294322"/>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rgb="FF996633"/>
        <bgColor indexed="64"/>
      </patternFill>
    </fill>
  </fills>
  <borders count="93">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style="medium">
        <color rgb="FFCD698C"/>
      </left>
      <right/>
      <top style="medium">
        <color rgb="FFCD698C"/>
      </top>
      <bottom/>
      <diagonal/>
    </border>
    <border>
      <left/>
      <right/>
      <top style="medium">
        <color rgb="FFCD698C"/>
      </top>
      <bottom/>
      <diagonal/>
    </border>
    <border>
      <left style="medium">
        <color rgb="FFCD698C"/>
      </left>
      <right/>
      <top/>
      <bottom style="medium">
        <color rgb="FFCD698C"/>
      </bottom>
      <diagonal/>
    </border>
    <border>
      <left/>
      <right/>
      <top/>
      <bottom style="medium">
        <color rgb="FFCD698C"/>
      </bottom>
      <diagonal/>
    </border>
    <border>
      <left style="medium">
        <color rgb="FFFFFFFF"/>
      </left>
      <right style="medium">
        <color rgb="FFFFFFFF"/>
      </right>
      <top style="medium">
        <color rgb="FFFFFFFF"/>
      </top>
      <bottom style="thick">
        <color rgb="FFFFFFFF"/>
      </bottom>
      <diagonal/>
    </border>
    <border>
      <left style="medium">
        <color rgb="FFFFFFFF"/>
      </left>
      <right style="thick">
        <color rgb="FFFFFFFF"/>
      </right>
      <top/>
      <bottom/>
      <diagonal/>
    </border>
    <border>
      <left style="medium">
        <color rgb="FFFFFFFF"/>
      </left>
      <right style="thick">
        <color rgb="FFFFFFFF"/>
      </right>
      <top style="medium">
        <color rgb="FFFFFFFF"/>
      </top>
      <bottom/>
      <diagonal/>
    </border>
    <border>
      <left/>
      <right style="medium">
        <color rgb="FFFFFFFF"/>
      </right>
      <top style="medium">
        <color rgb="FFFFFFFF"/>
      </top>
      <bottom style="thick">
        <color rgb="FFFFFFFF"/>
      </bottom>
      <diagonal/>
    </border>
    <border>
      <left/>
      <right style="medium">
        <color rgb="FFFFFFFF"/>
      </right>
      <top/>
      <bottom style="medium">
        <color rgb="FFFFFFFF"/>
      </bottom>
      <diagonal/>
    </border>
    <border>
      <left style="thick">
        <color rgb="FFFFFFFF"/>
      </left>
      <right style="medium">
        <color rgb="FFFFFFFF"/>
      </right>
      <top style="medium">
        <color rgb="FFFFFFFF"/>
      </top>
      <bottom/>
      <diagonal/>
    </border>
    <border>
      <left style="thick">
        <color rgb="FFFFFFFF"/>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medium">
        <color rgb="FFFFFFFF"/>
      </right>
      <top/>
      <bottom/>
      <diagonal/>
    </border>
    <border>
      <left style="medium">
        <color rgb="FFFFFFFF"/>
      </left>
      <right style="thick">
        <color rgb="FFFFFFFF"/>
      </right>
      <top style="medium">
        <color rgb="FFFFFFFF"/>
      </top>
      <bottom style="medium">
        <color rgb="FFFFFFFF"/>
      </bottom>
      <diagonal/>
    </border>
    <border>
      <left/>
      <right/>
      <top style="medium">
        <color auto="1"/>
      </top>
      <bottom style="medium">
        <color auto="1"/>
      </bottom>
      <diagonal/>
    </border>
    <border>
      <left/>
      <right/>
      <top style="thin">
        <color auto="1"/>
      </top>
      <bottom style="thin">
        <color auto="1"/>
      </bottom>
      <diagonal/>
    </border>
    <border>
      <left/>
      <right style="thin">
        <color auto="1"/>
      </right>
      <top style="medium">
        <color auto="1"/>
      </top>
      <bottom style="medium">
        <color auto="1"/>
      </bottom>
      <diagonal/>
    </border>
    <border>
      <left style="thin">
        <color auto="1"/>
      </left>
      <right style="thin">
        <color auto="1"/>
      </right>
      <top/>
      <bottom/>
      <diagonal/>
    </border>
    <border>
      <left style="medium">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style="medium">
        <color auto="1"/>
      </bottom>
      <diagonal/>
    </border>
    <border>
      <left/>
      <right/>
      <top/>
      <bottom style="thin">
        <color auto="1"/>
      </bottom>
      <diagonal/>
    </border>
    <border>
      <left style="medium">
        <color auto="1"/>
      </left>
      <right style="medium">
        <color auto="1"/>
      </right>
      <top/>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thin">
        <color auto="1"/>
      </top>
      <bottom/>
      <diagonal/>
    </border>
    <border>
      <left/>
      <right style="medium">
        <color auto="1"/>
      </right>
      <top style="thin">
        <color auto="1"/>
      </top>
      <bottom/>
      <diagonal/>
    </border>
  </borders>
  <cellStyleXfs count="81">
    <xf numFmtId="0" fontId="0" fillId="0" borderId="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0" fontId="52" fillId="0" borderId="0" applyNumberForma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64" fontId="108" fillId="0" borderId="0" applyFont="0" applyFill="0" applyBorder="0" applyAlignment="0" applyProtection="0"/>
    <xf numFmtId="170" fontId="108" fillId="0" borderId="0" applyFont="0" applyFill="0" applyBorder="0" applyAlignment="0" applyProtection="0"/>
    <xf numFmtId="170" fontId="108" fillId="0" borderId="0" applyFont="0" applyFill="0" applyBorder="0" applyAlignment="0" applyProtection="0"/>
    <xf numFmtId="170" fontId="108" fillId="0" borderId="0" applyFont="0" applyFill="0" applyBorder="0" applyAlignment="0" applyProtection="0"/>
    <xf numFmtId="170" fontId="108" fillId="0" borderId="0" applyFont="0" applyFill="0" applyBorder="0" applyAlignment="0" applyProtection="0"/>
    <xf numFmtId="170" fontId="108" fillId="0" borderId="0" applyFont="0" applyFill="0" applyBorder="0" applyAlignment="0" applyProtection="0"/>
    <xf numFmtId="170" fontId="108" fillId="0" borderId="0" applyFont="0" applyFill="0" applyBorder="0" applyAlignment="0" applyProtection="0"/>
    <xf numFmtId="170" fontId="108" fillId="0" borderId="0" applyFont="0" applyFill="0" applyBorder="0" applyAlignment="0" applyProtection="0"/>
    <xf numFmtId="170" fontId="108" fillId="0" borderId="0" applyFont="0" applyFill="0" applyBorder="0" applyAlignment="0" applyProtection="0"/>
    <xf numFmtId="170" fontId="108" fillId="0" borderId="0" applyFont="0" applyFill="0" applyBorder="0" applyAlignment="0" applyProtection="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5" fillId="0" borderId="0"/>
  </cellStyleXfs>
  <cellXfs count="1206">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applyAlignment="1">
      <alignment horizontal="center" vertical="center"/>
    </xf>
    <xf numFmtId="0" fontId="2" fillId="0" borderId="4" xfId="0" applyFont="1" applyBorder="1" applyAlignment="1">
      <alignment horizontal="center" vertical="center" wrapText="1"/>
    </xf>
    <xf numFmtId="0" fontId="4" fillId="3"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0" borderId="5" xfId="0" applyFont="1" applyBorder="1" applyAlignment="1">
      <alignment horizontal="center" vertical="center"/>
    </xf>
    <xf numFmtId="0" fontId="5" fillId="0" borderId="6" xfId="0" applyFont="1" applyBorder="1" applyAlignment="1">
      <alignment horizontal="center" vertical="center" wrapText="1"/>
    </xf>
    <xf numFmtId="0" fontId="4" fillId="3" borderId="6"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6" xfId="0" applyFont="1" applyFill="1" applyBorder="1" applyAlignment="1">
      <alignment horizontal="center" vertical="center"/>
    </xf>
    <xf numFmtId="0" fontId="2"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0" fontId="3" fillId="0" borderId="7" xfId="0" applyFont="1" applyBorder="1" applyAlignment="1">
      <alignment horizontal="center" vertical="center"/>
    </xf>
    <xf numFmtId="0" fontId="2" fillId="0" borderId="8" xfId="0" applyFont="1" applyBorder="1" applyAlignment="1">
      <alignment horizontal="center" vertical="center" wrapText="1"/>
    </xf>
    <xf numFmtId="0" fontId="4" fillId="3"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8" xfId="0" applyFont="1" applyFill="1" applyBorder="1" applyAlignment="1">
      <alignment horizontal="center" vertical="center"/>
    </xf>
    <xf numFmtId="0" fontId="2" fillId="2" borderId="9" xfId="0"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7" fillId="0" borderId="4" xfId="0" applyFont="1" applyBorder="1" applyAlignment="1">
      <alignment horizontal="center" vertical="center" wrapText="1"/>
    </xf>
    <xf numFmtId="0" fontId="8" fillId="3" borderId="4" xfId="0" applyFont="1" applyFill="1" applyBorder="1" applyAlignment="1">
      <alignment horizontal="center" vertical="center" wrapText="1"/>
    </xf>
    <xf numFmtId="0" fontId="0" fillId="0" borderId="4" xfId="0" applyBorder="1"/>
    <xf numFmtId="0" fontId="0" fillId="0" borderId="10" xfId="0" applyBorder="1" applyAlignment="1">
      <alignment horizontal="center"/>
    </xf>
    <xf numFmtId="4" fontId="4" fillId="3" borderId="6"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8" fillId="3" borderId="6" xfId="0" applyFont="1" applyFill="1" applyBorder="1" applyAlignment="1">
      <alignment horizontal="center" vertical="center" wrapText="1"/>
    </xf>
    <xf numFmtId="0" fontId="0" fillId="0" borderId="6" xfId="0" applyBorder="1"/>
    <xf numFmtId="0" fontId="0" fillId="0" borderId="11" xfId="0" applyBorder="1" applyAlignment="1">
      <alignment horizontal="center"/>
    </xf>
    <xf numFmtId="167" fontId="4" fillId="3" borderId="6" xfId="0" applyNumberFormat="1" applyFont="1" applyFill="1" applyBorder="1" applyAlignment="1">
      <alignment horizontal="center" vertical="center"/>
    </xf>
    <xf numFmtId="4" fontId="3" fillId="3" borderId="8" xfId="0" applyNumberFormat="1" applyFont="1" applyFill="1" applyBorder="1" applyAlignment="1">
      <alignment horizontal="center" vertical="center"/>
    </xf>
    <xf numFmtId="0" fontId="7" fillId="0" borderId="8" xfId="0" applyFont="1" applyBorder="1" applyAlignment="1">
      <alignment horizontal="center" vertical="center" wrapText="1"/>
    </xf>
    <xf numFmtId="0" fontId="8" fillId="3" borderId="8" xfId="0" applyFont="1" applyFill="1" applyBorder="1" applyAlignment="1">
      <alignment horizontal="center" vertical="center" wrapText="1"/>
    </xf>
    <xf numFmtId="0" fontId="0" fillId="0" borderId="8" xfId="0" applyBorder="1"/>
    <xf numFmtId="0" fontId="0" fillId="0" borderId="12" xfId="0" applyBorder="1" applyAlignment="1">
      <alignment horizont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3" fillId="0" borderId="13" xfId="0" applyFont="1" applyBorder="1" applyAlignment="1">
      <alignment horizontal="center" vertical="center"/>
    </xf>
    <xf numFmtId="0" fontId="2" fillId="0" borderId="14" xfId="0" applyFont="1" applyBorder="1" applyAlignment="1">
      <alignment horizontal="center" vertical="center"/>
    </xf>
    <xf numFmtId="0" fontId="4" fillId="4" borderId="14"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4" xfId="0" applyFont="1" applyFill="1" applyBorder="1" applyAlignment="1">
      <alignment horizontal="center" vertical="center"/>
    </xf>
    <xf numFmtId="0" fontId="5" fillId="0" borderId="14" xfId="0" applyFont="1" applyBorder="1" applyAlignment="1">
      <alignment horizontal="center" vertical="center"/>
    </xf>
    <xf numFmtId="0" fontId="4" fillId="4" borderId="6" xfId="0" applyFont="1" applyFill="1" applyBorder="1" applyAlignment="1">
      <alignment horizontal="center" vertical="center" wrapText="1"/>
    </xf>
    <xf numFmtId="0" fontId="2" fillId="0" borderId="6" xfId="0" applyFont="1" applyBorder="1" applyAlignment="1">
      <alignment horizontal="center" vertical="center"/>
    </xf>
    <xf numFmtId="0" fontId="4" fillId="5" borderId="6"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8"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4" fontId="4" fillId="3" borderId="15" xfId="0" applyNumberFormat="1" applyFont="1" applyFill="1" applyBorder="1" applyAlignment="1">
      <alignment horizontal="center" vertical="center"/>
    </xf>
    <xf numFmtId="4" fontId="4" fillId="3" borderId="11" xfId="0" applyNumberFormat="1" applyFont="1" applyFill="1" applyBorder="1" applyAlignment="1">
      <alignment horizontal="center" vertical="center"/>
    </xf>
    <xf numFmtId="167" fontId="4" fillId="3" borderId="11" xfId="0" applyNumberFormat="1" applyFont="1" applyFill="1" applyBorder="1" applyAlignment="1">
      <alignment horizontal="center" vertical="center"/>
    </xf>
    <xf numFmtId="4" fontId="3" fillId="3" borderId="11" xfId="0" applyNumberFormat="1" applyFont="1" applyFill="1" applyBorder="1" applyAlignment="1">
      <alignment horizontal="center" vertical="center"/>
    </xf>
    <xf numFmtId="4" fontId="12" fillId="3" borderId="11" xfId="0" applyNumberFormat="1" applyFont="1" applyFill="1" applyBorder="1" applyAlignment="1">
      <alignment horizontal="center" vertical="center"/>
    </xf>
    <xf numFmtId="4" fontId="4" fillId="3" borderId="11" xfId="0" applyNumberFormat="1" applyFont="1" applyFill="1" applyBorder="1" applyAlignment="1">
      <alignment horizontal="center" vertical="center" wrapText="1"/>
    </xf>
    <xf numFmtId="0" fontId="3" fillId="3" borderId="0" xfId="0" applyFont="1" applyFill="1" applyAlignment="1">
      <alignment horizontal="center" vertical="center"/>
    </xf>
    <xf numFmtId="0" fontId="13" fillId="3" borderId="6" xfId="0" applyFont="1" applyFill="1" applyBorder="1" applyAlignment="1">
      <alignment horizontal="center" vertical="center" wrapText="1"/>
    </xf>
    <xf numFmtId="0" fontId="14" fillId="3" borderId="6" xfId="0" applyFont="1" applyFill="1" applyBorder="1" applyAlignment="1">
      <alignment horizontal="center" vertical="center"/>
    </xf>
    <xf numFmtId="0" fontId="14" fillId="3" borderId="6"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4" fillId="3" borderId="6" xfId="0" applyFont="1" applyFill="1" applyBorder="1" applyAlignment="1">
      <alignment horizontal="center" vertical="center"/>
    </xf>
    <xf numFmtId="0" fontId="14" fillId="3" borderId="6" xfId="80" applyFont="1" applyFill="1" applyBorder="1" applyAlignment="1">
      <alignment horizontal="center"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wrapText="1"/>
    </xf>
    <xf numFmtId="0" fontId="3" fillId="8" borderId="8" xfId="0" applyFont="1" applyFill="1" applyBorder="1" applyAlignment="1">
      <alignment horizontal="center" vertical="center" wrapText="1"/>
    </xf>
    <xf numFmtId="4" fontId="14" fillId="3" borderId="11" xfId="80" applyNumberFormat="1" applyFont="1" applyFill="1" applyBorder="1" applyAlignment="1">
      <alignment horizontal="center" vertical="center" wrapText="1"/>
    </xf>
    <xf numFmtId="4" fontId="3" fillId="3" borderId="12" xfId="0" applyNumberFormat="1" applyFont="1" applyFill="1" applyBorder="1" applyAlignment="1">
      <alignment horizontal="center" vertical="center"/>
    </xf>
    <xf numFmtId="0" fontId="16" fillId="0" borderId="0" xfId="0" applyFont="1"/>
    <xf numFmtId="0" fontId="16" fillId="9" borderId="16" xfId="0" applyFont="1" applyFill="1" applyBorder="1" applyAlignment="1">
      <alignment horizontal="center" vertical="center"/>
    </xf>
    <xf numFmtId="0" fontId="16" fillId="9" borderId="17" xfId="0" applyFont="1" applyFill="1" applyBorder="1" applyAlignment="1">
      <alignment horizontal="center" vertical="center"/>
    </xf>
    <xf numFmtId="0" fontId="16" fillId="9" borderId="17" xfId="0" applyFont="1" applyFill="1" applyBorder="1" applyAlignment="1">
      <alignment horizontal="center" vertical="center" wrapText="1"/>
    </xf>
    <xf numFmtId="0" fontId="16" fillId="9" borderId="18"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4" xfId="0" applyFont="1" applyBorder="1" applyAlignment="1">
      <alignment vertical="center" wrapText="1"/>
    </xf>
    <xf numFmtId="0" fontId="16" fillId="0" borderId="4" xfId="0" applyFont="1" applyBorder="1" applyAlignment="1">
      <alignment horizontal="center" vertical="center" wrapText="1"/>
    </xf>
    <xf numFmtId="15" fontId="16" fillId="0" borderId="4" xfId="0" applyNumberFormat="1" applyFont="1" applyBorder="1" applyAlignment="1">
      <alignment horizontal="center" vertical="center"/>
    </xf>
    <xf numFmtId="0" fontId="16" fillId="4" borderId="10"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6" xfId="0" applyFont="1" applyBorder="1" applyAlignment="1">
      <alignment wrapText="1"/>
    </xf>
    <xf numFmtId="0" fontId="16" fillId="0" borderId="6" xfId="0" applyFont="1" applyBorder="1" applyAlignment="1">
      <alignment horizontal="center" vertical="center" wrapText="1"/>
    </xf>
    <xf numFmtId="15" fontId="16" fillId="0" borderId="6" xfId="0" applyNumberFormat="1" applyFont="1" applyBorder="1" applyAlignment="1">
      <alignment horizontal="center" vertical="center"/>
    </xf>
    <xf numFmtId="0" fontId="16" fillId="4" borderId="11" xfId="0" applyFont="1" applyFill="1" applyBorder="1" applyAlignment="1">
      <alignment horizontal="center" vertical="center"/>
    </xf>
    <xf numFmtId="0" fontId="16" fillId="0" borderId="6" xfId="0" applyFont="1" applyBorder="1" applyAlignment="1">
      <alignment vertical="center" wrapText="1"/>
    </xf>
    <xf numFmtId="0" fontId="16" fillId="8" borderId="11" xfId="0" applyFont="1" applyFill="1" applyBorder="1" applyAlignment="1">
      <alignment horizontal="center" vertical="center"/>
    </xf>
    <xf numFmtId="0" fontId="0" fillId="0" borderId="6" xfId="0" applyBorder="1" applyAlignment="1">
      <alignment horizontal="center" vertical="center" wrapText="1"/>
    </xf>
    <xf numFmtId="15" fontId="0" fillId="0" borderId="6" xfId="0" applyNumberFormat="1" applyBorder="1" applyAlignment="1">
      <alignment horizontal="center" vertical="center"/>
    </xf>
    <xf numFmtId="0" fontId="16" fillId="0" borderId="6" xfId="0" applyFont="1" applyBorder="1" applyAlignment="1">
      <alignment horizontal="left" vertical="center" wrapText="1"/>
    </xf>
    <xf numFmtId="0" fontId="0" fillId="0" borderId="6" xfId="0" applyBorder="1" applyAlignment="1">
      <alignment wrapText="1"/>
    </xf>
    <xf numFmtId="0" fontId="16" fillId="10" borderId="11" xfId="0" applyFont="1" applyFill="1" applyBorder="1" applyAlignment="1">
      <alignment horizontal="center" vertical="center"/>
    </xf>
    <xf numFmtId="0" fontId="16" fillId="6" borderId="11" xfId="0" applyFont="1" applyFill="1" applyBorder="1" applyAlignment="1">
      <alignment horizontal="center" vertical="center"/>
    </xf>
    <xf numFmtId="0" fontId="17" fillId="0" borderId="6" xfId="0" applyFont="1" applyBorder="1" applyAlignment="1">
      <alignment horizontal="center" vertical="center" wrapText="1"/>
    </xf>
    <xf numFmtId="15" fontId="0" fillId="0" borderId="6" xfId="0" applyNumberFormat="1" applyBorder="1" applyAlignment="1">
      <alignment horizontal="center"/>
    </xf>
    <xf numFmtId="17" fontId="0" fillId="0" borderId="6" xfId="0" applyNumberFormat="1" applyBorder="1" applyAlignment="1">
      <alignment horizontal="center"/>
    </xf>
    <xf numFmtId="0" fontId="3" fillId="6" borderId="11" xfId="0" applyFont="1" applyFill="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wrapText="1"/>
    </xf>
    <xf numFmtId="0" fontId="16" fillId="0" borderId="20" xfId="0" applyFont="1" applyBorder="1" applyAlignment="1">
      <alignment wrapText="1"/>
    </xf>
    <xf numFmtId="0" fontId="0" fillId="0" borderId="20" xfId="0" applyBorder="1" applyAlignment="1">
      <alignment wrapText="1"/>
    </xf>
    <xf numFmtId="17" fontId="0" fillId="0" borderId="20" xfId="0" applyNumberFormat="1" applyBorder="1" applyAlignment="1">
      <alignment horizontal="center"/>
    </xf>
    <xf numFmtId="0" fontId="3" fillId="4" borderId="21" xfId="0" applyFont="1" applyFill="1" applyBorder="1" applyAlignment="1">
      <alignment horizontal="center" vertical="center"/>
    </xf>
    <xf numFmtId="0" fontId="16" fillId="0" borderId="20" xfId="0" applyFont="1" applyBorder="1" applyAlignment="1">
      <alignment horizontal="center" vertical="center"/>
    </xf>
    <xf numFmtId="0" fontId="3" fillId="8" borderId="21" xfId="0" applyFont="1" applyFill="1" applyBorder="1" applyAlignment="1">
      <alignment horizontal="center" vertical="center"/>
    </xf>
    <xf numFmtId="0" fontId="0" fillId="0" borderId="8" xfId="0" applyBorder="1" applyAlignment="1">
      <alignment wrapText="1"/>
    </xf>
    <xf numFmtId="0" fontId="16" fillId="0" borderId="8" xfId="0" applyFont="1" applyBorder="1" applyAlignment="1">
      <alignment wrapText="1"/>
    </xf>
    <xf numFmtId="0" fontId="16" fillId="0" borderId="8" xfId="0" applyFont="1" applyBorder="1" applyAlignment="1">
      <alignment horizontal="center" vertical="center" wrapText="1"/>
    </xf>
    <xf numFmtId="0" fontId="0" fillId="0" borderId="8" xfId="0" applyBorder="1" applyAlignment="1">
      <alignment horizontal="center"/>
    </xf>
    <xf numFmtId="0" fontId="16" fillId="0" borderId="8" xfId="0" applyFont="1" applyBorder="1" applyAlignment="1">
      <alignment horizontal="center" vertical="center"/>
    </xf>
    <xf numFmtId="0" fontId="3" fillId="6" borderId="12" xfId="0" applyFont="1" applyFill="1" applyBorder="1" applyAlignment="1">
      <alignment horizontal="center" vertical="center"/>
    </xf>
    <xf numFmtId="17" fontId="0" fillId="0" borderId="20" xfId="0" applyNumberFormat="1" applyBorder="1" applyAlignment="1">
      <alignment horizontal="center" wrapText="1"/>
    </xf>
    <xf numFmtId="0" fontId="16" fillId="0" borderId="7" xfId="0" applyFont="1" applyBorder="1" applyAlignment="1">
      <alignment horizontal="center" vertical="center"/>
    </xf>
    <xf numFmtId="0" fontId="0" fillId="0" borderId="8" xfId="0"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2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3"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24"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4" fillId="3" borderId="0" xfId="0" applyFont="1" applyFill="1" applyAlignment="1">
      <alignment horizontal="center" vertical="center" wrapText="1"/>
    </xf>
    <xf numFmtId="0" fontId="2" fillId="11" borderId="6"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0" fillId="0" borderId="6" xfId="0" applyBorder="1" applyAlignment="1">
      <alignment horizontal="center" vertical="center"/>
    </xf>
    <xf numFmtId="0" fontId="11"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3" fontId="2" fillId="11" borderId="6" xfId="0" applyNumberFormat="1" applyFont="1" applyFill="1" applyBorder="1" applyAlignment="1">
      <alignment horizontal="center" vertical="center" wrapText="1"/>
    </xf>
    <xf numFmtId="3" fontId="19" fillId="11" borderId="6" xfId="0" applyNumberFormat="1"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22" fillId="11" borderId="9"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5" fillId="11" borderId="6" xfId="0" applyFont="1" applyFill="1" applyBorder="1" applyAlignment="1">
      <alignment horizontal="center" vertical="center" wrapText="1"/>
    </xf>
    <xf numFmtId="0" fontId="23" fillId="11" borderId="6" xfId="0" applyFont="1" applyFill="1" applyBorder="1" applyAlignment="1">
      <alignment horizontal="center" vertical="center" wrapText="1"/>
    </xf>
    <xf numFmtId="0" fontId="23" fillId="11" borderId="6" xfId="0" applyFont="1" applyFill="1" applyBorder="1" applyAlignment="1">
      <alignment horizontal="center" vertical="center"/>
    </xf>
    <xf numFmtId="0" fontId="3" fillId="0" borderId="6" xfId="0" applyFont="1" applyBorder="1" applyAlignment="1">
      <alignment horizontal="center" vertical="center" wrapText="1"/>
    </xf>
    <xf numFmtId="14" fontId="0" fillId="0" borderId="6" xfId="0" applyNumberFormat="1" applyBorder="1" applyAlignment="1">
      <alignment horizontal="center" vertical="center" wrapText="1"/>
    </xf>
    <xf numFmtId="0" fontId="2" fillId="4" borderId="6" xfId="0" applyFont="1" applyFill="1" applyBorder="1" applyAlignment="1">
      <alignment horizontal="center" vertical="center" wrapText="1"/>
    </xf>
    <xf numFmtId="0" fontId="9" fillId="0" borderId="6" xfId="0" applyFont="1" applyBorder="1" applyAlignment="1">
      <alignment horizontal="center" vertical="center" wrapText="1"/>
    </xf>
    <xf numFmtId="3" fontId="2" fillId="0" borderId="6" xfId="0" applyNumberFormat="1" applyFont="1" applyBorder="1" applyAlignment="1">
      <alignment horizontal="center" vertical="center" wrapText="1"/>
    </xf>
    <xf numFmtId="3" fontId="19" fillId="0" borderId="6"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vertical="center" wrapText="1"/>
    </xf>
    <xf numFmtId="0" fontId="22" fillId="4" borderId="9" xfId="0" applyFont="1" applyFill="1" applyBorder="1" applyAlignment="1">
      <alignment horizontal="center" vertical="center" wrapText="1"/>
    </xf>
    <xf numFmtId="3" fontId="2" fillId="4"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23" fillId="0" borderId="6" xfId="0" applyFont="1" applyBorder="1" applyAlignment="1">
      <alignment horizontal="center" vertical="center" wrapText="1"/>
    </xf>
    <xf numFmtId="0" fontId="23" fillId="4" borderId="6" xfId="0" applyFont="1" applyFill="1" applyBorder="1" applyAlignment="1">
      <alignment horizontal="center" vertical="center"/>
    </xf>
    <xf numFmtId="0" fontId="0" fillId="0" borderId="6" xfId="0" applyBorder="1" applyAlignment="1">
      <alignmen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2" fillId="3" borderId="14" xfId="0" applyFont="1" applyFill="1" applyBorder="1" applyAlignment="1">
      <alignment horizontal="center" vertical="center"/>
    </xf>
    <xf numFmtId="0" fontId="6" fillId="0" borderId="6" xfId="0" applyFont="1" applyBorder="1" applyAlignment="1">
      <alignment horizontal="center" vertical="center" wrapText="1"/>
    </xf>
    <xf numFmtId="0" fontId="5" fillId="3" borderId="14" xfId="0" applyFont="1" applyFill="1" applyBorder="1" applyAlignment="1">
      <alignment horizontal="center" vertical="center"/>
    </xf>
    <xf numFmtId="0" fontId="3" fillId="12" borderId="6" xfId="0" applyFont="1" applyFill="1" applyBorder="1" applyAlignment="1">
      <alignment horizontal="center" vertical="center" wrapText="1"/>
    </xf>
    <xf numFmtId="3" fontId="2" fillId="0" borderId="2" xfId="0" applyNumberFormat="1" applyFont="1" applyBorder="1" applyAlignment="1">
      <alignment horizontal="center" vertical="center" wrapText="1"/>
    </xf>
    <xf numFmtId="4" fontId="4" fillId="3" borderId="14" xfId="0" applyNumberFormat="1" applyFont="1" applyFill="1" applyBorder="1" applyAlignment="1">
      <alignment horizontal="center" vertical="center"/>
    </xf>
    <xf numFmtId="4" fontId="24" fillId="3" borderId="14" xfId="0" applyNumberFormat="1" applyFont="1" applyFill="1" applyBorder="1" applyAlignment="1">
      <alignment horizontal="center" vertical="center"/>
    </xf>
    <xf numFmtId="174" fontId="4" fillId="3" borderId="14" xfId="0"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0" fontId="7" fillId="0" borderId="14" xfId="0" applyFont="1" applyBorder="1" applyAlignment="1">
      <alignment horizontal="center" vertical="center" wrapText="1"/>
    </xf>
    <xf numFmtId="4" fontId="24" fillId="3" borderId="6" xfId="0" applyNumberFormat="1" applyFont="1" applyFill="1" applyBorder="1" applyAlignment="1">
      <alignment horizontal="center" vertical="center"/>
    </xf>
    <xf numFmtId="4" fontId="2" fillId="3" borderId="6" xfId="0" applyNumberFormat="1" applyFont="1" applyFill="1" applyBorder="1" applyAlignment="1">
      <alignment horizontal="center" vertical="center"/>
    </xf>
    <xf numFmtId="174" fontId="4" fillId="0" borderId="14" xfId="0" applyNumberFormat="1" applyFont="1" applyBorder="1" applyAlignment="1">
      <alignment horizontal="center" vertical="center" wrapText="1"/>
    </xf>
    <xf numFmtId="4" fontId="4" fillId="3" borderId="6" xfId="0" applyNumberFormat="1" applyFont="1" applyFill="1" applyBorder="1" applyAlignment="1">
      <alignment horizontal="center" vertical="center" wrapText="1"/>
    </xf>
    <xf numFmtId="0" fontId="25" fillId="0" borderId="6" xfId="0" applyFont="1" applyBorder="1" applyAlignment="1">
      <alignment horizontal="center" vertical="center" wrapText="1"/>
    </xf>
    <xf numFmtId="4" fontId="26" fillId="3" borderId="6" xfId="0" applyNumberFormat="1" applyFont="1" applyFill="1" applyBorder="1" applyAlignment="1">
      <alignment horizontal="center" vertical="center"/>
    </xf>
    <xf numFmtId="4" fontId="14" fillId="3" borderId="6" xfId="0" applyNumberFormat="1" applyFont="1" applyFill="1" applyBorder="1" applyAlignment="1">
      <alignment horizontal="center" vertical="center"/>
    </xf>
    <xf numFmtId="3" fontId="19" fillId="0" borderId="2" xfId="0" applyNumberFormat="1" applyFont="1" applyBorder="1" applyAlignment="1">
      <alignment horizontal="center" vertical="center" wrapText="1"/>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2" fillId="8" borderId="9" xfId="0" applyFont="1" applyFill="1" applyBorder="1" applyAlignment="1">
      <alignment horizontal="center" vertical="center" wrapText="1"/>
    </xf>
    <xf numFmtId="3" fontId="2" fillId="8" borderId="2" xfId="0" applyNumberFormat="1" applyFont="1" applyFill="1" applyBorder="1" applyAlignment="1">
      <alignment horizontal="center" vertical="center" wrapText="1"/>
    </xf>
    <xf numFmtId="0" fontId="4" fillId="0" borderId="14" xfId="0" applyFont="1" applyBorder="1" applyAlignment="1">
      <alignment horizontal="center" vertical="center" wrapText="1"/>
    </xf>
    <xf numFmtId="0" fontId="8" fillId="13" borderId="14" xfId="0" applyFont="1" applyFill="1" applyBorder="1" applyAlignment="1">
      <alignment horizontal="center" vertical="center" wrapText="1"/>
    </xf>
    <xf numFmtId="0" fontId="14" fillId="13" borderId="14" xfId="0" applyFont="1" applyFill="1" applyBorder="1" applyAlignment="1">
      <alignment horizontal="center" vertical="center" wrapText="1"/>
    </xf>
    <xf numFmtId="0" fontId="4" fillId="13" borderId="14" xfId="0" applyFont="1" applyFill="1" applyBorder="1" applyAlignment="1">
      <alignment horizontal="center" vertical="center"/>
    </xf>
    <xf numFmtId="0" fontId="14" fillId="3" borderId="14" xfId="0" applyFont="1" applyFill="1" applyBorder="1" applyAlignment="1">
      <alignment horizontal="center" vertical="center" wrapText="1"/>
    </xf>
    <xf numFmtId="0" fontId="8" fillId="13" borderId="6" xfId="0" applyFont="1" applyFill="1" applyBorder="1" applyAlignment="1">
      <alignment horizontal="center" vertical="center" wrapText="1"/>
    </xf>
    <xf numFmtId="0" fontId="14" fillId="13" borderId="6" xfId="0" applyFont="1" applyFill="1" applyBorder="1" applyAlignment="1">
      <alignment horizontal="center" vertical="center" wrapText="1"/>
    </xf>
    <xf numFmtId="0" fontId="4" fillId="13" borderId="6" xfId="0" applyFont="1" applyFill="1" applyBorder="1" applyAlignment="1">
      <alignment horizontal="center" vertical="center"/>
    </xf>
    <xf numFmtId="0" fontId="4" fillId="0" borderId="6" xfId="0" applyFont="1" applyBorder="1" applyAlignment="1">
      <alignment horizontal="center" vertical="center"/>
    </xf>
    <xf numFmtId="0" fontId="8" fillId="0" borderId="6" xfId="0" applyFont="1" applyBorder="1" applyAlignment="1">
      <alignment horizontal="center" vertical="center" wrapText="1"/>
    </xf>
    <xf numFmtId="0" fontId="8" fillId="12" borderId="6"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8" borderId="2" xfId="0" applyFont="1" applyFill="1" applyBorder="1" applyAlignment="1">
      <alignment horizontal="center" vertical="center"/>
    </xf>
    <xf numFmtId="0" fontId="23" fillId="8" borderId="9" xfId="0" applyFont="1" applyFill="1" applyBorder="1" applyAlignment="1">
      <alignment horizontal="center" vertical="center"/>
    </xf>
    <xf numFmtId="0" fontId="3" fillId="6" borderId="14" xfId="0" applyFont="1" applyFill="1" applyBorder="1" applyAlignment="1">
      <alignment horizontal="center" vertical="center"/>
    </xf>
    <xf numFmtId="0" fontId="0" fillId="0" borderId="14" xfId="0" applyBorder="1"/>
    <xf numFmtId="0" fontId="3" fillId="6" borderId="6" xfId="0" applyFont="1" applyFill="1" applyBorder="1" applyAlignment="1">
      <alignment horizontal="center" vertical="center"/>
    </xf>
    <xf numFmtId="17" fontId="0" fillId="0" borderId="6" xfId="0" applyNumberFormat="1" applyBorder="1" applyAlignment="1">
      <alignment horizontal="center" vertical="center"/>
    </xf>
    <xf numFmtId="0" fontId="3" fillId="6" borderId="6" xfId="0" applyFont="1" applyFill="1" applyBorder="1" applyAlignment="1">
      <alignment horizontal="center" vertical="center" wrapText="1"/>
    </xf>
    <xf numFmtId="0" fontId="3" fillId="0" borderId="6" xfId="0" applyFont="1" applyBorder="1" applyAlignment="1">
      <alignment wrapText="1"/>
    </xf>
    <xf numFmtId="0" fontId="0" fillId="12" borderId="6" xfId="0" applyFill="1" applyBorder="1" applyAlignment="1">
      <alignment horizontal="center" vertical="center" wrapText="1"/>
    </xf>
    <xf numFmtId="0" fontId="0" fillId="0" borderId="6" xfId="0" applyBorder="1" applyAlignment="1">
      <alignment horizontal="center" wrapText="1"/>
    </xf>
    <xf numFmtId="0" fontId="4" fillId="3" borderId="6" xfId="80" applyFont="1" applyFill="1" applyBorder="1" applyAlignment="1">
      <alignment horizontal="center" vertical="center" wrapText="1"/>
    </xf>
    <xf numFmtId="0" fontId="2" fillId="3" borderId="6" xfId="0" applyFont="1" applyFill="1" applyBorder="1" applyAlignment="1">
      <alignment horizontal="center" vertical="center" wrapText="1"/>
    </xf>
    <xf numFmtId="0" fontId="3" fillId="0" borderId="0" xfId="0" applyFont="1" applyAlignment="1">
      <alignment horizontal="center" vertical="center"/>
    </xf>
    <xf numFmtId="0" fontId="2" fillId="3" borderId="0" xfId="0" applyFont="1" applyFill="1" applyAlignment="1">
      <alignment horizontal="center" vertical="center" wrapText="1"/>
    </xf>
    <xf numFmtId="0" fontId="4" fillId="0" borderId="0" xfId="0" applyFont="1" applyAlignment="1">
      <alignment horizontal="center" vertical="center" wrapText="1"/>
    </xf>
    <xf numFmtId="0" fontId="4" fillId="8" borderId="0" xfId="0" applyFont="1" applyFill="1" applyAlignment="1">
      <alignment horizontal="center" vertical="center" wrapText="1"/>
    </xf>
    <xf numFmtId="4" fontId="3" fillId="3" borderId="6" xfId="0" applyNumberFormat="1" applyFont="1" applyFill="1" applyBorder="1" applyAlignment="1">
      <alignment horizontal="center" vertical="center"/>
    </xf>
    <xf numFmtId="4" fontId="4" fillId="3" borderId="6" xfId="3" applyNumberFormat="1" applyFont="1" applyFill="1" applyBorder="1" applyAlignment="1">
      <alignment horizontal="center" vertical="center" wrapText="1"/>
    </xf>
    <xf numFmtId="4" fontId="4" fillId="3" borderId="6" xfId="80" applyNumberFormat="1" applyFont="1" applyFill="1" applyBorder="1" applyAlignment="1">
      <alignment horizontal="center" vertical="center" wrapText="1"/>
    </xf>
    <xf numFmtId="174" fontId="3" fillId="3" borderId="6" xfId="0" applyNumberFormat="1" applyFont="1" applyFill="1" applyBorder="1" applyAlignment="1">
      <alignment horizontal="center" vertical="center"/>
    </xf>
    <xf numFmtId="4" fontId="3" fillId="3" borderId="0" xfId="0" applyNumberFormat="1" applyFont="1" applyFill="1" applyAlignment="1">
      <alignment horizontal="center" vertical="center"/>
    </xf>
    <xf numFmtId="0" fontId="4" fillId="3" borderId="0" xfId="0" applyFont="1" applyFill="1" applyAlignment="1">
      <alignment horizontal="center" vertical="center"/>
    </xf>
    <xf numFmtId="0" fontId="3" fillId="3" borderId="0" xfId="0" applyFont="1" applyFill="1" applyAlignment="1">
      <alignment horizontal="center" vertical="center" wrapText="1"/>
    </xf>
    <xf numFmtId="0" fontId="7" fillId="0" borderId="0" xfId="0" applyFont="1" applyAlignment="1">
      <alignment horizontal="center" vertical="center" wrapText="1"/>
    </xf>
    <xf numFmtId="17" fontId="4" fillId="10" borderId="6" xfId="0" applyNumberFormat="1" applyFont="1" applyFill="1" applyBorder="1" applyAlignment="1">
      <alignment horizontal="center" vertical="center" wrapText="1"/>
    </xf>
    <xf numFmtId="0" fontId="4" fillId="12" borderId="6" xfId="0" applyFont="1" applyFill="1" applyBorder="1" applyAlignment="1">
      <alignment horizontal="center" vertical="center" wrapText="1"/>
    </xf>
    <xf numFmtId="0" fontId="3" fillId="0" borderId="0" xfId="0" applyFont="1" applyAlignment="1">
      <alignment horizontal="center" vertical="center" wrapText="1"/>
    </xf>
    <xf numFmtId="0" fontId="4" fillId="12" borderId="0" xfId="0" applyFont="1" applyFill="1" applyAlignment="1">
      <alignment horizontal="center" vertical="center" wrapText="1"/>
    </xf>
    <xf numFmtId="0" fontId="14" fillId="3" borderId="0" xfId="0" applyFont="1" applyFill="1" applyAlignment="1">
      <alignment horizontal="center" vertical="center" wrapText="1"/>
    </xf>
    <xf numFmtId="0" fontId="3" fillId="0" borderId="6" xfId="0" applyFont="1" applyBorder="1" applyAlignment="1">
      <alignment horizontal="center" wrapText="1"/>
    </xf>
    <xf numFmtId="0" fontId="14" fillId="0" borderId="6" xfId="0" applyFont="1" applyBorder="1" applyAlignment="1">
      <alignment horizontal="center" vertical="center" wrapText="1"/>
    </xf>
    <xf numFmtId="0" fontId="8" fillId="0" borderId="6" xfId="0" applyFont="1" applyBorder="1" applyAlignment="1">
      <alignment wrapText="1"/>
    </xf>
    <xf numFmtId="0" fontId="8" fillId="0" borderId="6" xfId="0" applyFont="1" applyBorder="1" applyAlignment="1">
      <alignment horizontal="center" vertical="center"/>
    </xf>
    <xf numFmtId="0" fontId="27" fillId="0" borderId="14" xfId="0" applyFont="1" applyBorder="1" applyAlignment="1">
      <alignment horizontal="center" vertical="center"/>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20" fillId="0" borderId="6" xfId="0" applyFont="1" applyBorder="1" applyAlignment="1">
      <alignment horizontal="center" vertical="center"/>
    </xf>
    <xf numFmtId="0" fontId="7" fillId="13" borderId="6"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28" fillId="0" borderId="6" xfId="0" applyFont="1" applyBorder="1" applyAlignment="1">
      <alignment horizontal="center" vertical="center"/>
    </xf>
    <xf numFmtId="0" fontId="7" fillId="0" borderId="6" xfId="0" applyFont="1" applyBorder="1" applyAlignment="1">
      <alignment horizontal="center" vertical="center"/>
    </xf>
    <xf numFmtId="0" fontId="28" fillId="0" borderId="6" xfId="0" applyFont="1" applyBorder="1" applyAlignment="1">
      <alignment horizontal="center" vertical="center" wrapText="1"/>
    </xf>
    <xf numFmtId="0" fontId="7" fillId="4" borderId="6"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14" borderId="6" xfId="0" applyFont="1" applyFill="1" applyBorder="1" applyAlignment="1">
      <alignment horizontal="center" vertical="center" wrapText="1"/>
    </xf>
    <xf numFmtId="0" fontId="29" fillId="0" borderId="6" xfId="0" applyFont="1" applyBorder="1" applyAlignment="1">
      <alignment horizontal="center" vertical="center" wrapText="1"/>
    </xf>
    <xf numFmtId="4" fontId="7" fillId="2" borderId="14" xfId="0" applyNumberFormat="1" applyFont="1" applyFill="1" applyBorder="1" applyAlignment="1">
      <alignment horizontal="center" vertical="center"/>
    </xf>
    <xf numFmtId="4" fontId="30" fillId="14" borderId="14" xfId="0" applyNumberFormat="1" applyFont="1" applyFill="1" applyBorder="1" applyAlignment="1">
      <alignment horizontal="center" vertical="center"/>
    </xf>
    <xf numFmtId="0" fontId="28" fillId="13" borderId="14" xfId="0" applyFont="1" applyFill="1" applyBorder="1" applyAlignment="1">
      <alignment horizontal="center" vertical="center" wrapText="1"/>
    </xf>
    <xf numFmtId="0" fontId="7" fillId="13" borderId="14" xfId="0" applyFont="1" applyFill="1" applyBorder="1" applyAlignment="1">
      <alignment horizontal="center" vertical="center"/>
    </xf>
    <xf numFmtId="4" fontId="7" fillId="2" borderId="6" xfId="0" applyNumberFormat="1" applyFont="1" applyFill="1" applyBorder="1" applyAlignment="1">
      <alignment horizontal="center" vertical="center"/>
    </xf>
    <xf numFmtId="4" fontId="30" fillId="14" borderId="6" xfId="0" applyNumberFormat="1" applyFont="1" applyFill="1" applyBorder="1" applyAlignment="1">
      <alignment horizontal="center" vertical="center"/>
    </xf>
    <xf numFmtId="0" fontId="28" fillId="13" borderId="6" xfId="0" applyFont="1" applyFill="1" applyBorder="1" applyAlignment="1">
      <alignment horizontal="center" vertical="center" wrapText="1"/>
    </xf>
    <xf numFmtId="0" fontId="7" fillId="13" borderId="6" xfId="0" applyFont="1" applyFill="1" applyBorder="1" applyAlignment="1">
      <alignment horizontal="center" vertical="center"/>
    </xf>
    <xf numFmtId="4" fontId="7" fillId="2" borderId="6" xfId="0" applyNumberFormat="1" applyFont="1" applyFill="1" applyBorder="1" applyAlignment="1">
      <alignment horizontal="center" vertical="center" wrapText="1"/>
    </xf>
    <xf numFmtId="4" fontId="28" fillId="14" borderId="6" xfId="0" applyNumberFormat="1" applyFont="1" applyFill="1" applyBorder="1" applyAlignment="1">
      <alignment horizontal="center" vertical="center" wrapText="1"/>
    </xf>
    <xf numFmtId="4" fontId="31" fillId="2" borderId="6" xfId="0" applyNumberFormat="1" applyFont="1" applyFill="1" applyBorder="1" applyAlignment="1">
      <alignment horizontal="center" vertical="center"/>
    </xf>
    <xf numFmtId="4" fontId="31" fillId="14" borderId="6" xfId="0" applyNumberFormat="1" applyFont="1" applyFill="1" applyBorder="1" applyAlignment="1">
      <alignment horizontal="center" vertical="center"/>
    </xf>
    <xf numFmtId="4" fontId="7" fillId="14" borderId="6" xfId="0" applyNumberFormat="1" applyFont="1" applyFill="1" applyBorder="1" applyAlignment="1">
      <alignment horizontal="center" vertical="center"/>
    </xf>
    <xf numFmtId="4" fontId="8" fillId="2" borderId="6" xfId="0" applyNumberFormat="1" applyFont="1" applyFill="1" applyBorder="1" applyAlignment="1">
      <alignment horizontal="center" vertical="center"/>
    </xf>
    <xf numFmtId="4" fontId="8" fillId="14" borderId="6" xfId="0" applyNumberFormat="1" applyFont="1" applyFill="1" applyBorder="1" applyAlignment="1">
      <alignment horizontal="center" vertical="center"/>
    </xf>
    <xf numFmtId="4" fontId="28" fillId="14" borderId="6" xfId="0" applyNumberFormat="1" applyFont="1" applyFill="1" applyBorder="1" applyAlignment="1">
      <alignment horizontal="center" vertical="center"/>
    </xf>
    <xf numFmtId="167" fontId="7" fillId="2" borderId="6" xfId="0" applyNumberFormat="1" applyFont="1" applyFill="1" applyBorder="1" applyAlignment="1">
      <alignment horizontal="center" vertical="center"/>
    </xf>
    <xf numFmtId="167" fontId="7" fillId="14" borderId="6" xfId="0" applyNumberFormat="1" applyFont="1" applyFill="1" applyBorder="1" applyAlignment="1">
      <alignment horizontal="center" vertical="center"/>
    </xf>
    <xf numFmtId="0" fontId="28" fillId="13" borderId="6" xfId="0" applyFont="1" applyFill="1" applyBorder="1" applyAlignment="1">
      <alignment horizontal="center" vertical="center"/>
    </xf>
    <xf numFmtId="4" fontId="32" fillId="14" borderId="6" xfId="0" applyNumberFormat="1" applyFont="1" applyFill="1" applyBorder="1" applyAlignment="1">
      <alignment horizontal="center" vertical="center"/>
    </xf>
    <xf numFmtId="4" fontId="28" fillId="2" borderId="6" xfId="0" applyNumberFormat="1" applyFont="1" applyFill="1" applyBorder="1" applyAlignment="1">
      <alignment horizontal="center" vertical="center"/>
    </xf>
    <xf numFmtId="0" fontId="28" fillId="4" borderId="6" xfId="0" applyFont="1" applyFill="1" applyBorder="1" applyAlignment="1">
      <alignment horizontal="center" vertical="center" wrapText="1"/>
    </xf>
    <xf numFmtId="0" fontId="33" fillId="0" borderId="6" xfId="0" applyFont="1" applyBorder="1" applyAlignment="1">
      <alignment horizontal="center" vertical="center"/>
    </xf>
    <xf numFmtId="0" fontId="7" fillId="5" borderId="6"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14" fillId="0" borderId="6" xfId="0" applyFont="1" applyBorder="1" applyAlignment="1">
      <alignment horizontal="center" vertical="center"/>
    </xf>
    <xf numFmtId="0" fontId="4" fillId="12" borderId="6" xfId="0" applyFont="1" applyFill="1" applyBorder="1" applyAlignment="1">
      <alignment horizontal="center" vertical="center"/>
    </xf>
    <xf numFmtId="0" fontId="14" fillId="0" borderId="6" xfId="80" applyFont="1" applyBorder="1" applyAlignment="1">
      <alignment horizontal="center" vertical="center" wrapText="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34"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0" fillId="13" borderId="14" xfId="0" applyFill="1" applyBorder="1" applyAlignment="1">
      <alignment horizontal="center" vertical="center"/>
    </xf>
    <xf numFmtId="0" fontId="0" fillId="0" borderId="14" xfId="0" applyBorder="1" applyAlignment="1">
      <alignment horizontal="center" vertical="center"/>
    </xf>
    <xf numFmtId="0" fontId="0" fillId="13" borderId="6" xfId="0" applyFill="1" applyBorder="1" applyAlignment="1">
      <alignment horizontal="center" vertical="center"/>
    </xf>
    <xf numFmtId="0" fontId="8" fillId="0" borderId="5" xfId="0" applyFont="1" applyBorder="1" applyAlignment="1">
      <alignment horizontal="center" vertical="center"/>
    </xf>
    <xf numFmtId="0" fontId="35" fillId="13" borderId="6" xfId="0" applyFont="1" applyFill="1" applyBorder="1" applyAlignment="1">
      <alignment horizontal="center" vertical="center"/>
    </xf>
    <xf numFmtId="0" fontId="35" fillId="0" borderId="6" xfId="0" applyFont="1" applyBorder="1" applyAlignment="1">
      <alignment horizontal="center" vertical="center"/>
    </xf>
    <xf numFmtId="0" fontId="0" fillId="0" borderId="19" xfId="0" applyBorder="1" applyAlignment="1">
      <alignment horizontal="center" vertical="center"/>
    </xf>
    <xf numFmtId="0" fontId="35" fillId="8" borderId="20" xfId="0" applyFont="1" applyFill="1" applyBorder="1" applyAlignment="1">
      <alignment horizontal="center" vertical="center"/>
    </xf>
    <xf numFmtId="0" fontId="35" fillId="0" borderId="20" xfId="0" applyFont="1" applyBorder="1" applyAlignment="1">
      <alignment horizontal="center" vertical="center"/>
    </xf>
    <xf numFmtId="0" fontId="0" fillId="0" borderId="20" xfId="0" applyBorder="1" applyAlignment="1">
      <alignment horizontal="center" vertical="center"/>
    </xf>
    <xf numFmtId="0" fontId="23" fillId="0" borderId="1" xfId="0" applyFont="1" applyBorder="1" applyAlignment="1">
      <alignment horizontal="center" vertical="center"/>
    </xf>
    <xf numFmtId="0" fontId="9"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wrapText="1"/>
    </xf>
    <xf numFmtId="17" fontId="8" fillId="0" borderId="10" xfId="0" applyNumberFormat="1" applyFont="1" applyBorder="1" applyAlignment="1">
      <alignment horizontal="center" vertical="center"/>
    </xf>
    <xf numFmtId="17" fontId="8" fillId="0" borderId="0" xfId="0" applyNumberFormat="1" applyFont="1" applyAlignment="1">
      <alignment horizontal="center" vertical="center"/>
    </xf>
    <xf numFmtId="17" fontId="8" fillId="0" borderId="11" xfId="0" applyNumberFormat="1"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horizontal="center" vertical="center" wrapText="1"/>
    </xf>
    <xf numFmtId="17" fontId="8" fillId="0" borderId="12" xfId="0" applyNumberFormat="1" applyFont="1" applyBorder="1" applyAlignment="1">
      <alignment horizontal="center" vertical="center"/>
    </xf>
    <xf numFmtId="0" fontId="25" fillId="14" borderId="6" xfId="0" applyFont="1" applyFill="1" applyBorder="1" applyAlignment="1">
      <alignment horizontal="center" vertical="center"/>
    </xf>
    <xf numFmtId="4" fontId="8" fillId="3" borderId="0" xfId="0" applyNumberFormat="1" applyFont="1" applyFill="1"/>
    <xf numFmtId="4" fontId="8" fillId="15" borderId="0" xfId="0" applyNumberFormat="1" applyFont="1" applyFill="1"/>
    <xf numFmtId="2" fontId="36" fillId="0" borderId="0" xfId="0" applyNumberFormat="1" applyFont="1" applyAlignment="1">
      <alignment horizontal="center" vertical="center"/>
    </xf>
    <xf numFmtId="0" fontId="36" fillId="0" borderId="0" xfId="0" applyFont="1" applyAlignment="1">
      <alignment horizontal="center" vertical="center"/>
    </xf>
    <xf numFmtId="4" fontId="4" fillId="2" borderId="6" xfId="0" applyNumberFormat="1" applyFont="1" applyFill="1" applyBorder="1" applyAlignment="1">
      <alignment horizontal="center" vertical="center"/>
    </xf>
    <xf numFmtId="4" fontId="24" fillId="14" borderId="6" xfId="0" applyNumberFormat="1" applyFont="1" applyFill="1" applyBorder="1" applyAlignment="1">
      <alignment horizontal="center" vertical="center"/>
    </xf>
    <xf numFmtId="4" fontId="14" fillId="14" borderId="6" xfId="0" applyNumberFormat="1" applyFont="1" applyFill="1" applyBorder="1" applyAlignment="1">
      <alignment horizontal="center" vertical="center"/>
    </xf>
    <xf numFmtId="167" fontId="4" fillId="2" borderId="6" xfId="0" applyNumberFormat="1" applyFont="1" applyFill="1" applyBorder="1" applyAlignment="1">
      <alignment horizontal="center" vertical="center"/>
    </xf>
    <xf numFmtId="167" fontId="4" fillId="14" borderId="6" xfId="0" applyNumberFormat="1" applyFont="1" applyFill="1" applyBorder="1" applyAlignment="1">
      <alignment horizontal="center" vertical="center"/>
    </xf>
    <xf numFmtId="4" fontId="4" fillId="14" borderId="6" xfId="0" applyNumberFormat="1" applyFont="1" applyFill="1" applyBorder="1" applyAlignment="1">
      <alignment horizontal="center" vertical="center"/>
    </xf>
    <xf numFmtId="4" fontId="14" fillId="14" borderId="6" xfId="3" applyNumberFormat="1" applyFont="1" applyFill="1" applyBorder="1" applyAlignment="1">
      <alignment horizontal="center" vertical="center" wrapText="1"/>
    </xf>
    <xf numFmtId="4" fontId="14" fillId="2" borderId="6" xfId="80" applyNumberFormat="1" applyFont="1" applyFill="1" applyBorder="1" applyAlignment="1">
      <alignment horizontal="center" vertical="center" wrapText="1"/>
    </xf>
    <xf numFmtId="4" fontId="14" fillId="14" borderId="6" xfId="80" applyNumberFormat="1" applyFont="1" applyFill="1" applyBorder="1" applyAlignment="1">
      <alignment horizontal="center" vertical="center" wrapText="1"/>
    </xf>
    <xf numFmtId="4" fontId="3" fillId="2" borderId="6" xfId="0" applyNumberFormat="1" applyFont="1" applyFill="1" applyBorder="1" applyAlignment="1">
      <alignment horizontal="center" vertical="center"/>
    </xf>
    <xf numFmtId="0" fontId="4" fillId="14" borderId="6" xfId="0" applyFont="1" applyFill="1" applyBorder="1" applyAlignment="1">
      <alignment horizontal="center" vertical="center"/>
    </xf>
    <xf numFmtId="0" fontId="27" fillId="0" borderId="9" xfId="0" applyFont="1" applyBorder="1" applyAlignment="1">
      <alignment horizontal="center" vertical="center" wrapText="1"/>
    </xf>
    <xf numFmtId="0" fontId="0" fillId="0" borderId="21" xfId="0" applyBorder="1" applyAlignment="1">
      <alignment horizontal="center" vertical="center"/>
    </xf>
    <xf numFmtId="0" fontId="9" fillId="0" borderId="9" xfId="0" applyFont="1" applyBorder="1" applyAlignment="1">
      <alignment horizontal="center" vertical="center"/>
    </xf>
    <xf numFmtId="0" fontId="9" fillId="0" borderId="25" xfId="0" applyFont="1" applyBorder="1" applyAlignment="1">
      <alignment horizontal="center" vertical="center"/>
    </xf>
    <xf numFmtId="2" fontId="0" fillId="0" borderId="0" xfId="0" applyNumberFormat="1" applyAlignment="1">
      <alignment horizontal="center" vertical="center"/>
    </xf>
    <xf numFmtId="0" fontId="10" fillId="0" borderId="6" xfId="0" applyFont="1" applyBorder="1" applyAlignment="1">
      <alignment horizontal="center" vertical="center" wrapText="1"/>
    </xf>
    <xf numFmtId="0" fontId="5" fillId="0" borderId="6" xfId="0" applyFont="1" applyBorder="1" applyAlignment="1">
      <alignment horizontal="center" vertical="center"/>
    </xf>
    <xf numFmtId="0" fontId="0" fillId="8" borderId="6" xfId="0" applyFill="1" applyBorder="1"/>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9" fillId="14" borderId="2" xfId="0" applyFont="1" applyFill="1" applyBorder="1" applyAlignment="1">
      <alignment horizontal="center" vertical="center" wrapText="1"/>
    </xf>
    <xf numFmtId="0" fontId="21" fillId="16" borderId="2" xfId="0" applyFont="1" applyFill="1" applyBorder="1" applyAlignment="1">
      <alignment horizontal="center" vertical="center" wrapText="1"/>
    </xf>
    <xf numFmtId="0" fontId="3" fillId="0" borderId="14" xfId="0" applyFont="1" applyBorder="1" applyAlignment="1">
      <alignment horizontal="center" vertical="center" wrapText="1"/>
    </xf>
    <xf numFmtId="4" fontId="4" fillId="2" borderId="14" xfId="0" applyNumberFormat="1" applyFont="1" applyFill="1" applyBorder="1" applyAlignment="1">
      <alignment horizontal="center" vertical="center"/>
    </xf>
    <xf numFmtId="4" fontId="4" fillId="14" borderId="14" xfId="0" applyNumberFormat="1" applyFont="1" applyFill="1" applyBorder="1" applyAlignment="1">
      <alignment horizontal="center" vertical="center"/>
    </xf>
    <xf numFmtId="4" fontId="14" fillId="16" borderId="14" xfId="0" applyNumberFormat="1" applyFont="1" applyFill="1" applyBorder="1" applyAlignment="1">
      <alignment horizontal="center" vertical="center" wrapText="1"/>
    </xf>
    <xf numFmtId="4" fontId="26" fillId="14" borderId="6" xfId="0" applyNumberFormat="1" applyFont="1" applyFill="1" applyBorder="1" applyAlignment="1">
      <alignment horizontal="center" vertical="center"/>
    </xf>
    <xf numFmtId="4" fontId="14" fillId="16" borderId="6" xfId="0" applyNumberFormat="1" applyFont="1" applyFill="1" applyBorder="1" applyAlignment="1">
      <alignment horizontal="center" vertical="center"/>
    </xf>
    <xf numFmtId="0" fontId="3" fillId="10"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167" fontId="14" fillId="16" borderId="6" xfId="0" applyNumberFormat="1" applyFont="1" applyFill="1" applyBorder="1" applyAlignment="1">
      <alignment horizontal="center" vertical="center"/>
    </xf>
    <xf numFmtId="0" fontId="13" fillId="0" borderId="6" xfId="0" applyFont="1" applyBorder="1" applyAlignment="1">
      <alignment horizontal="center" vertical="center" wrapText="1"/>
    </xf>
    <xf numFmtId="0" fontId="5" fillId="0" borderId="26" xfId="0" applyFont="1" applyBorder="1" applyAlignment="1">
      <alignment horizontal="center" vertical="center"/>
    </xf>
    <xf numFmtId="0" fontId="3" fillId="10" borderId="8" xfId="0" applyFont="1" applyFill="1" applyBorder="1" applyAlignment="1">
      <alignment horizontal="center" vertical="center" wrapText="1"/>
    </xf>
    <xf numFmtId="0" fontId="3" fillId="0" borderId="8" xfId="0" applyFont="1" applyBorder="1" applyAlignment="1">
      <alignment horizontal="center" vertical="center" wrapText="1"/>
    </xf>
    <xf numFmtId="4" fontId="4" fillId="2" borderId="8" xfId="0" applyNumberFormat="1" applyFont="1" applyFill="1" applyBorder="1" applyAlignment="1">
      <alignment horizontal="center" vertical="center"/>
    </xf>
    <xf numFmtId="4" fontId="4" fillId="14" borderId="8" xfId="0" applyNumberFormat="1" applyFont="1" applyFill="1" applyBorder="1" applyAlignment="1">
      <alignment horizontal="center" vertical="center"/>
    </xf>
    <xf numFmtId="4" fontId="14" fillId="16" borderId="8" xfId="0" applyNumberFormat="1" applyFont="1" applyFill="1" applyBorder="1" applyAlignment="1">
      <alignment horizontal="center" vertical="center"/>
    </xf>
    <xf numFmtId="4" fontId="0" fillId="0" borderId="27" xfId="0" applyNumberFormat="1" applyBorder="1" applyAlignment="1">
      <alignment horizontal="center"/>
    </xf>
    <xf numFmtId="4" fontId="0" fillId="0" borderId="26" xfId="0" applyNumberFormat="1" applyBorder="1" applyAlignment="1">
      <alignment horizontal="center"/>
    </xf>
    <xf numFmtId="0" fontId="9" fillId="3" borderId="2"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38" fillId="0" borderId="29" xfId="0" applyFont="1" applyBorder="1" applyAlignment="1">
      <alignment horizontal="center" vertical="center" wrapText="1"/>
    </xf>
    <xf numFmtId="4" fontId="14" fillId="3" borderId="30" xfId="0" applyNumberFormat="1" applyFont="1" applyFill="1" applyBorder="1" applyAlignment="1">
      <alignment horizontal="center" vertical="center" wrapText="1"/>
    </xf>
    <xf numFmtId="4" fontId="35" fillId="0" borderId="31" xfId="0" applyNumberFormat="1" applyFont="1" applyBorder="1" applyAlignment="1">
      <alignment horizontal="center" vertical="center"/>
    </xf>
    <xf numFmtId="4" fontId="14" fillId="3" borderId="32" xfId="0" applyNumberFormat="1" applyFont="1" applyFill="1" applyBorder="1" applyAlignment="1">
      <alignment horizontal="center" vertical="center"/>
    </xf>
    <xf numFmtId="4" fontId="35" fillId="0" borderId="23" xfId="0" applyNumberFormat="1" applyFont="1" applyBorder="1" applyAlignment="1">
      <alignment horizontal="center" vertical="center"/>
    </xf>
    <xf numFmtId="4" fontId="38" fillId="0" borderId="23" xfId="0" applyNumberFormat="1" applyFont="1" applyBorder="1" applyAlignment="1">
      <alignment horizontal="center" vertical="center"/>
    </xf>
    <xf numFmtId="4" fontId="0" fillId="0" borderId="0" xfId="0" applyNumberFormat="1"/>
    <xf numFmtId="4" fontId="39" fillId="0" borderId="23" xfId="0" applyNumberFormat="1" applyFont="1" applyBorder="1" applyAlignment="1">
      <alignment horizontal="center" vertical="center"/>
    </xf>
    <xf numFmtId="4" fontId="4" fillId="3" borderId="32" xfId="0" applyNumberFormat="1" applyFont="1" applyFill="1" applyBorder="1" applyAlignment="1">
      <alignment horizontal="center" vertical="center"/>
    </xf>
    <xf numFmtId="167" fontId="14" fillId="3" borderId="32" xfId="0" applyNumberFormat="1" applyFont="1" applyFill="1" applyBorder="1" applyAlignment="1">
      <alignment horizontal="center" vertical="center"/>
    </xf>
    <xf numFmtId="4" fontId="4" fillId="3" borderId="8" xfId="0" applyNumberFormat="1" applyFont="1" applyFill="1" applyBorder="1" applyAlignment="1">
      <alignment horizontal="center" vertical="center"/>
    </xf>
    <xf numFmtId="4" fontId="14" fillId="3" borderId="33" xfId="0" applyNumberFormat="1" applyFont="1" applyFill="1" applyBorder="1" applyAlignment="1">
      <alignment horizontal="center" vertical="center"/>
    </xf>
    <xf numFmtId="4" fontId="38" fillId="0" borderId="24" xfId="0" applyNumberFormat="1" applyFont="1" applyBorder="1" applyAlignment="1">
      <alignment horizontal="center" vertical="center"/>
    </xf>
    <xf numFmtId="4" fontId="0" fillId="0" borderId="34" xfId="0" applyNumberFormat="1" applyBorder="1" applyAlignment="1">
      <alignment horizontal="center"/>
    </xf>
    <xf numFmtId="4" fontId="0" fillId="0" borderId="35" xfId="0" applyNumberFormat="1" applyBorder="1" applyAlignment="1">
      <alignment horizontal="center"/>
    </xf>
    <xf numFmtId="4" fontId="0" fillId="0" borderId="0" xfId="0" applyNumberFormat="1" applyAlignment="1">
      <alignment horizontal="center" vertical="center"/>
    </xf>
    <xf numFmtId="0" fontId="23" fillId="0" borderId="0" xfId="0" applyFont="1"/>
    <xf numFmtId="0" fontId="40" fillId="17" borderId="38" xfId="0" applyFont="1" applyFill="1" applyBorder="1" applyAlignment="1">
      <alignment horizontal="center" vertical="center" wrapText="1"/>
    </xf>
    <xf numFmtId="0" fontId="40" fillId="17" borderId="39" xfId="0" applyFont="1" applyFill="1" applyBorder="1" applyAlignment="1">
      <alignment horizontal="center" vertical="center" wrapText="1"/>
    </xf>
    <xf numFmtId="0" fontId="41" fillId="0" borderId="35" xfId="0" applyFont="1" applyBorder="1" applyAlignment="1">
      <alignment horizontal="center" vertical="center"/>
    </xf>
    <xf numFmtId="0" fontId="41" fillId="0" borderId="38" xfId="0" applyFont="1" applyBorder="1" applyAlignment="1">
      <alignment horizontal="center" vertical="center"/>
    </xf>
    <xf numFmtId="0" fontId="41" fillId="0" borderId="40" xfId="0" applyFont="1" applyBorder="1" applyAlignment="1">
      <alignment horizontal="center" vertical="center"/>
    </xf>
    <xf numFmtId="0" fontId="40" fillId="17" borderId="29" xfId="0" applyFont="1" applyFill="1" applyBorder="1" applyAlignment="1">
      <alignment horizontal="center" vertical="center"/>
    </xf>
    <xf numFmtId="0" fontId="43" fillId="0" borderId="35" xfId="0" applyFont="1" applyBorder="1" applyAlignment="1">
      <alignment horizontal="center" vertical="center"/>
    </xf>
    <xf numFmtId="0" fontId="43" fillId="0" borderId="40" xfId="0" applyFont="1" applyBorder="1" applyAlignment="1">
      <alignment horizontal="center" vertical="center"/>
    </xf>
    <xf numFmtId="0" fontId="40" fillId="17" borderId="41" xfId="0" applyFont="1" applyFill="1" applyBorder="1" applyAlignment="1">
      <alignment horizontal="center" vertical="center" wrapText="1"/>
    </xf>
    <xf numFmtId="0" fontId="40" fillId="17" borderId="40" xfId="0" applyFont="1" applyFill="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8" borderId="6" xfId="0" applyFill="1" applyBorder="1" applyAlignment="1">
      <alignment horizontal="center"/>
    </xf>
    <xf numFmtId="0" fontId="45" fillId="19" borderId="6" xfId="0" applyFont="1" applyFill="1" applyBorder="1" applyAlignment="1">
      <alignment horizontal="center" vertical="center"/>
    </xf>
    <xf numFmtId="0" fontId="46" fillId="0" borderId="5" xfId="0" applyFont="1" applyBorder="1" applyAlignment="1">
      <alignment horizontal="center" vertical="center"/>
    </xf>
    <xf numFmtId="3" fontId="46" fillId="0" borderId="6" xfId="0" applyNumberFormat="1" applyFont="1" applyBorder="1" applyAlignment="1">
      <alignment horizontal="center" vertical="center"/>
    </xf>
    <xf numFmtId="0" fontId="46" fillId="19" borderId="5" xfId="0" applyFont="1" applyFill="1" applyBorder="1" applyAlignment="1">
      <alignment horizontal="center" vertical="center"/>
    </xf>
    <xf numFmtId="3" fontId="46" fillId="19" borderId="6" xfId="0" applyNumberFormat="1" applyFont="1" applyFill="1" applyBorder="1" applyAlignment="1">
      <alignment horizontal="center" vertical="center"/>
    </xf>
    <xf numFmtId="4" fontId="46" fillId="19" borderId="6" xfId="0" applyNumberFormat="1" applyFont="1" applyFill="1" applyBorder="1" applyAlignment="1">
      <alignment horizontal="center" vertical="center"/>
    </xf>
    <xf numFmtId="4" fontId="46" fillId="0" borderId="6" xfId="0" applyNumberFormat="1" applyFont="1" applyBorder="1" applyAlignment="1">
      <alignment horizontal="center" vertical="center"/>
    </xf>
    <xf numFmtId="0" fontId="46" fillId="0" borderId="7" xfId="0" applyFont="1" applyBorder="1" applyAlignment="1">
      <alignment horizontal="center" vertical="center"/>
    </xf>
    <xf numFmtId="0" fontId="45" fillId="0" borderId="8" xfId="0" applyFont="1" applyBorder="1" applyAlignment="1">
      <alignment horizontal="center" vertical="center"/>
    </xf>
    <xf numFmtId="0" fontId="45" fillId="19" borderId="11" xfId="0" applyFont="1" applyFill="1" applyBorder="1" applyAlignment="1">
      <alignment horizontal="center" vertical="center"/>
    </xf>
    <xf numFmtId="3" fontId="46" fillId="0" borderId="11" xfId="0" applyNumberFormat="1" applyFont="1" applyBorder="1" applyAlignment="1">
      <alignment horizontal="center" vertical="center"/>
    </xf>
    <xf numFmtId="4" fontId="46" fillId="19" borderId="11" xfId="0" applyNumberFormat="1" applyFont="1" applyFill="1" applyBorder="1" applyAlignment="1">
      <alignment horizontal="center" vertical="center"/>
    </xf>
    <xf numFmtId="4" fontId="46" fillId="0" borderId="11" xfId="0" applyNumberFormat="1" applyFont="1" applyBorder="1" applyAlignment="1">
      <alignment horizontal="center" vertical="center"/>
    </xf>
    <xf numFmtId="0" fontId="45" fillId="0" borderId="12" xfId="0" applyFont="1" applyBorder="1" applyAlignment="1">
      <alignment horizontal="center" vertical="center"/>
    </xf>
    <xf numFmtId="0" fontId="48" fillId="19" borderId="6" xfId="0" applyFont="1" applyFill="1" applyBorder="1" applyAlignment="1">
      <alignment horizontal="center" vertical="center" wrapText="1"/>
    </xf>
    <xf numFmtId="0" fontId="48" fillId="19" borderId="6" xfId="0" applyFont="1" applyFill="1" applyBorder="1" applyAlignment="1">
      <alignment horizontal="center" vertical="center"/>
    </xf>
    <xf numFmtId="0" fontId="48" fillId="0" borderId="44" xfId="0" applyFont="1" applyBorder="1" applyAlignment="1">
      <alignment horizontal="center" vertical="center" wrapText="1"/>
    </xf>
    <xf numFmtId="0" fontId="49" fillId="0" borderId="45" xfId="0" applyFont="1" applyBorder="1" applyAlignment="1">
      <alignment horizontal="left" vertical="center" wrapText="1"/>
    </xf>
    <xf numFmtId="3" fontId="49" fillId="0" borderId="6" xfId="0" applyNumberFormat="1" applyFont="1" applyBorder="1" applyAlignment="1">
      <alignment horizontal="center" vertical="center" wrapText="1"/>
    </xf>
    <xf numFmtId="173" fontId="50" fillId="3" borderId="6" xfId="15" applyNumberFormat="1" applyFont="1" applyFill="1" applyBorder="1" applyAlignment="1">
      <alignment vertical="center" wrapText="1"/>
    </xf>
    <xf numFmtId="0" fontId="48" fillId="19" borderId="44" xfId="0" applyFont="1" applyFill="1" applyBorder="1" applyAlignment="1">
      <alignment horizontal="center" vertical="center" wrapText="1"/>
    </xf>
    <xf numFmtId="0" fontId="49" fillId="19" borderId="45" xfId="0" applyFont="1" applyFill="1" applyBorder="1" applyAlignment="1">
      <alignment horizontal="left" vertical="center" wrapText="1"/>
    </xf>
    <xf numFmtId="3" fontId="49" fillId="19" borderId="6" xfId="0" applyNumberFormat="1" applyFont="1" applyFill="1" applyBorder="1" applyAlignment="1">
      <alignment horizontal="center" vertical="center" wrapText="1"/>
    </xf>
    <xf numFmtId="3" fontId="49" fillId="19" borderId="6" xfId="0" applyNumberFormat="1" applyFont="1" applyFill="1" applyBorder="1" applyAlignment="1">
      <alignment vertical="center" wrapText="1"/>
    </xf>
    <xf numFmtId="0" fontId="49" fillId="0" borderId="6" xfId="0" applyFont="1" applyBorder="1" applyAlignment="1">
      <alignment horizontal="center" vertical="center" wrapText="1"/>
    </xf>
    <xf numFmtId="0" fontId="49" fillId="0" borderId="6" xfId="0" applyFont="1" applyBorder="1" applyAlignment="1">
      <alignment vertical="center" wrapText="1"/>
    </xf>
    <xf numFmtId="3" fontId="49" fillId="0" borderId="6" xfId="0" applyNumberFormat="1" applyFont="1" applyBorder="1" applyAlignment="1">
      <alignment vertical="center" wrapText="1"/>
    </xf>
    <xf numFmtId="0" fontId="49" fillId="19" borderId="6" xfId="0" applyFont="1" applyFill="1" applyBorder="1" applyAlignment="1">
      <alignment horizontal="center" vertical="center" wrapText="1"/>
    </xf>
    <xf numFmtId="0" fontId="51" fillId="0" borderId="44" xfId="0" applyFont="1" applyBorder="1" applyAlignment="1">
      <alignment horizontal="center" vertical="center"/>
    </xf>
    <xf numFmtId="0" fontId="52" fillId="0" borderId="45" xfId="4" applyBorder="1" applyAlignment="1">
      <alignment horizontal="left" vertical="center" wrapText="1"/>
    </xf>
    <xf numFmtId="0" fontId="53" fillId="19" borderId="44" xfId="0" applyFont="1" applyFill="1" applyBorder="1" applyAlignment="1">
      <alignment vertical="center" wrapText="1"/>
    </xf>
    <xf numFmtId="0" fontId="48" fillId="19" borderId="45" xfId="0" applyFont="1" applyFill="1" applyBorder="1" applyAlignment="1">
      <alignment horizontal="left" vertical="center" wrapText="1"/>
    </xf>
    <xf numFmtId="3" fontId="48" fillId="19" borderId="6" xfId="0" applyNumberFormat="1" applyFont="1" applyFill="1" applyBorder="1" applyAlignment="1">
      <alignment horizontal="center" vertical="center" wrapText="1"/>
    </xf>
    <xf numFmtId="0" fontId="0" fillId="8" borderId="6" xfId="0" applyFill="1" applyBorder="1" applyAlignment="1">
      <alignment horizontal="center" wrapText="1"/>
    </xf>
    <xf numFmtId="0" fontId="54" fillId="18" borderId="46" xfId="0" applyFont="1" applyFill="1" applyBorder="1" applyAlignment="1">
      <alignment horizontal="center" vertical="center" wrapText="1"/>
    </xf>
    <xf numFmtId="0" fontId="43" fillId="18" borderId="47" xfId="0" applyFont="1" applyFill="1" applyBorder="1" applyAlignment="1">
      <alignment horizontal="left" vertical="center" wrapText="1"/>
    </xf>
    <xf numFmtId="0" fontId="43" fillId="18" borderId="48" xfId="0" applyFont="1" applyFill="1" applyBorder="1" applyAlignment="1">
      <alignment horizontal="left" vertical="center" wrapText="1"/>
    </xf>
    <xf numFmtId="0" fontId="54" fillId="18" borderId="49" xfId="0" applyFont="1" applyFill="1" applyBorder="1" applyAlignment="1">
      <alignment horizontal="center" vertical="center" wrapText="1"/>
    </xf>
    <xf numFmtId="0" fontId="43" fillId="20" borderId="50" xfId="0" applyFont="1" applyFill="1" applyBorder="1" applyAlignment="1">
      <alignment horizontal="center" vertical="center"/>
    </xf>
    <xf numFmtId="0" fontId="43" fillId="20" borderId="50" xfId="0" applyFont="1" applyFill="1" applyBorder="1" applyAlignment="1">
      <alignment horizontal="center" vertical="center" wrapText="1"/>
    </xf>
    <xf numFmtId="0" fontId="43" fillId="19" borderId="50" xfId="0" applyFont="1" applyFill="1" applyBorder="1" applyAlignment="1">
      <alignment horizontal="center" vertical="center" wrapText="1"/>
    </xf>
    <xf numFmtId="0" fontId="54" fillId="18" borderId="57" xfId="0" applyFont="1" applyFill="1" applyBorder="1" applyAlignment="1">
      <alignment horizontal="center" vertical="center" wrapText="1"/>
    </xf>
    <xf numFmtId="0" fontId="43" fillId="19" borderId="57" xfId="0" applyFont="1" applyFill="1" applyBorder="1" applyAlignment="1">
      <alignment horizontal="center" vertical="center" wrapText="1"/>
    </xf>
    <xf numFmtId="0" fontId="43" fillId="20" borderId="57" xfId="0" applyFont="1" applyFill="1" applyBorder="1" applyAlignment="1">
      <alignment horizontal="center" vertical="center" wrapText="1"/>
    </xf>
    <xf numFmtId="0" fontId="43" fillId="19" borderId="50" xfId="0" applyFont="1" applyFill="1" applyBorder="1" applyAlignment="1">
      <alignment horizontal="center" vertical="center"/>
    </xf>
    <xf numFmtId="0" fontId="43" fillId="18" borderId="48" xfId="0" applyFont="1" applyFill="1" applyBorder="1" applyAlignment="1">
      <alignment horizontal="left" vertical="center"/>
    </xf>
    <xf numFmtId="0" fontId="43" fillId="20" borderId="57" xfId="0" applyFont="1" applyFill="1" applyBorder="1" applyAlignment="1">
      <alignment horizontal="center" vertical="center"/>
    </xf>
    <xf numFmtId="0" fontId="43" fillId="19" borderId="57" xfId="0" applyFont="1" applyFill="1" applyBorder="1" applyAlignment="1">
      <alignment horizontal="center" vertical="center"/>
    </xf>
    <xf numFmtId="0" fontId="55" fillId="18" borderId="58" xfId="0" applyFont="1" applyFill="1" applyBorder="1" applyAlignment="1">
      <alignment horizontal="left" vertical="center" wrapText="1"/>
    </xf>
    <xf numFmtId="0" fontId="55" fillId="19" borderId="50" xfId="0" applyFont="1" applyFill="1" applyBorder="1" applyAlignment="1">
      <alignment horizontal="center" vertical="center"/>
    </xf>
    <xf numFmtId="0" fontId="55" fillId="19" borderId="57" xfId="0" applyFont="1" applyFill="1" applyBorder="1" applyAlignment="1">
      <alignment horizontal="center" vertical="center"/>
    </xf>
    <xf numFmtId="0" fontId="1" fillId="0" borderId="0" xfId="0" applyFont="1" applyAlignment="1">
      <alignment horizontal="center" vertical="center" wrapText="1"/>
    </xf>
    <xf numFmtId="0" fontId="0" fillId="8" borderId="29" xfId="0" applyFill="1" applyBorder="1"/>
    <xf numFmtId="0" fontId="0" fillId="21" borderId="29" xfId="0" applyFill="1" applyBorder="1"/>
    <xf numFmtId="0" fontId="0" fillId="12" borderId="35" xfId="0" applyFill="1" applyBorder="1"/>
    <xf numFmtId="0" fontId="23" fillId="0" borderId="0" xfId="0" applyFont="1" applyAlignment="1">
      <alignment wrapText="1"/>
    </xf>
    <xf numFmtId="0" fontId="23" fillId="15" borderId="1" xfId="0" applyFont="1" applyFill="1" applyBorder="1" applyAlignment="1">
      <alignment horizontal="center" vertical="center" wrapText="1"/>
    </xf>
    <xf numFmtId="0" fontId="23" fillId="15" borderId="2" xfId="0" applyFont="1" applyFill="1" applyBorder="1" applyAlignment="1">
      <alignment horizontal="center" vertical="center" wrapText="1"/>
    </xf>
    <xf numFmtId="0" fontId="23" fillId="15" borderId="2" xfId="0" applyFont="1" applyFill="1" applyBorder="1" applyAlignment="1">
      <alignment horizontal="center" vertical="center"/>
    </xf>
    <xf numFmtId="0" fontId="0" fillId="0" borderId="14" xfId="0" applyBorder="1" applyAlignment="1">
      <alignment horizontal="center" vertical="center" wrapText="1"/>
    </xf>
    <xf numFmtId="0" fontId="0" fillId="3" borderId="14" xfId="0" applyFill="1" applyBorder="1" applyAlignment="1">
      <alignment vertical="center" wrapText="1"/>
    </xf>
    <xf numFmtId="0" fontId="0" fillId="0" borderId="14" xfId="0" applyBorder="1" applyAlignment="1">
      <alignment vertical="center"/>
    </xf>
    <xf numFmtId="0" fontId="0" fillId="21" borderId="14" xfId="0" applyFill="1" applyBorder="1" applyAlignment="1">
      <alignment vertical="center" wrapText="1"/>
    </xf>
    <xf numFmtId="0" fontId="0" fillId="0" borderId="14" xfId="0" applyBorder="1" applyAlignment="1">
      <alignment vertical="center" wrapText="1"/>
    </xf>
    <xf numFmtId="0" fontId="0" fillId="3" borderId="6" xfId="0" applyFill="1" applyBorder="1" applyAlignment="1">
      <alignment vertical="center" wrapText="1"/>
    </xf>
    <xf numFmtId="0" fontId="0" fillId="21" borderId="6" xfId="0" applyFill="1" applyBorder="1" applyAlignment="1">
      <alignment horizontal="center" vertical="center" wrapText="1"/>
    </xf>
    <xf numFmtId="0" fontId="23" fillId="3" borderId="6" xfId="0" applyFont="1" applyFill="1" applyBorder="1" applyAlignment="1">
      <alignment horizontal="center" vertical="center" wrapText="1"/>
    </xf>
    <xf numFmtId="0" fontId="0" fillId="21" borderId="6" xfId="0" applyFill="1" applyBorder="1" applyAlignment="1">
      <alignment vertical="center" wrapText="1"/>
    </xf>
    <xf numFmtId="0" fontId="0" fillId="3" borderId="6" xfId="0" applyFill="1" applyBorder="1" applyAlignment="1">
      <alignment horizontal="center" vertical="center" wrapText="1"/>
    </xf>
    <xf numFmtId="0" fontId="57" fillId="22" borderId="6" xfId="0" applyFont="1" applyFill="1" applyBorder="1" applyAlignment="1">
      <alignment vertical="center" wrapText="1"/>
    </xf>
    <xf numFmtId="0" fontId="0" fillId="8" borderId="6" xfId="0" applyFill="1" applyBorder="1" applyAlignment="1">
      <alignment vertical="center" wrapText="1"/>
    </xf>
    <xf numFmtId="0" fontId="0" fillId="22" borderId="6" xfId="0" applyFill="1" applyBorder="1" applyAlignment="1">
      <alignment horizontal="center" vertical="center" wrapText="1"/>
    </xf>
    <xf numFmtId="0" fontId="23" fillId="8" borderId="6" xfId="0" applyFont="1" applyFill="1" applyBorder="1" applyAlignment="1">
      <alignment horizontal="left" vertical="center" wrapText="1"/>
    </xf>
    <xf numFmtId="0" fontId="39" fillId="0" borderId="14" xfId="0" applyFont="1" applyBorder="1" applyAlignment="1">
      <alignmen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0" fontId="0" fillId="3" borderId="6" xfId="0" applyFill="1" applyBorder="1" applyAlignment="1">
      <alignment vertical="center"/>
    </xf>
    <xf numFmtId="0" fontId="0" fillId="0" borderId="8" xfId="0" applyBorder="1" applyAlignment="1">
      <alignment horizontal="center" vertical="center" wrapText="1"/>
    </xf>
    <xf numFmtId="0" fontId="0" fillId="3" borderId="8" xfId="0" applyFill="1" applyBorder="1" applyAlignment="1">
      <alignment vertical="center" wrapText="1"/>
    </xf>
    <xf numFmtId="0" fontId="0" fillId="0" borderId="8" xfId="0" applyBorder="1" applyAlignment="1">
      <alignment vertical="center" wrapText="1"/>
    </xf>
    <xf numFmtId="0" fontId="0" fillId="8" borderId="8" xfId="0" applyFill="1" applyBorder="1" applyAlignment="1">
      <alignment horizontal="left" vertical="center" wrapText="1"/>
    </xf>
    <xf numFmtId="15" fontId="0" fillId="0" borderId="0" xfId="0" applyNumberFormat="1" applyAlignment="1">
      <alignment horizontal="center" vertical="center"/>
    </xf>
    <xf numFmtId="0" fontId="0" fillId="3" borderId="0" xfId="0" applyFill="1" applyAlignment="1">
      <alignment horizontal="center" vertical="center"/>
    </xf>
    <xf numFmtId="0" fontId="23" fillId="15" borderId="28" xfId="0" applyFont="1" applyFill="1" applyBorder="1" applyAlignment="1">
      <alignment horizontal="center" vertical="center" wrapText="1"/>
    </xf>
    <xf numFmtId="0" fontId="23" fillId="15" borderId="9" xfId="0" applyFont="1" applyFill="1" applyBorder="1" applyAlignment="1">
      <alignment horizontal="center" vertical="center" wrapText="1"/>
    </xf>
    <xf numFmtId="0" fontId="9" fillId="0" borderId="14" xfId="0" applyFont="1" applyBorder="1" applyAlignment="1">
      <alignment vertical="center" wrapText="1"/>
    </xf>
    <xf numFmtId="0" fontId="0" fillId="0" borderId="30" xfId="0" applyBorder="1" applyAlignment="1">
      <alignment vertical="center" wrapText="1"/>
    </xf>
    <xf numFmtId="0" fontId="1" fillId="0" borderId="15" xfId="0" applyFont="1" applyBorder="1" applyAlignment="1">
      <alignment horizontal="center" vertical="center" wrapText="1"/>
    </xf>
    <xf numFmtId="0" fontId="35" fillId="3" borderId="32" xfId="0" applyFont="1" applyFill="1" applyBorder="1" applyAlignment="1">
      <alignment vertical="center" wrapText="1"/>
    </xf>
    <xf numFmtId="0" fontId="1" fillId="0" borderId="11" xfId="0" applyFont="1" applyBorder="1" applyAlignment="1">
      <alignment horizontal="center" vertical="center" wrapText="1"/>
    </xf>
    <xf numFmtId="0" fontId="39" fillId="3" borderId="32" xfId="0" applyFont="1" applyFill="1" applyBorder="1" applyAlignment="1">
      <alignment vertical="center" wrapText="1"/>
    </xf>
    <xf numFmtId="0" fontId="58" fillId="0" borderId="32" xfId="0" applyFont="1" applyBorder="1" applyAlignment="1">
      <alignment vertical="center" wrapText="1"/>
    </xf>
    <xf numFmtId="0" fontId="0" fillId="3" borderId="32" xfId="0" applyFill="1" applyBorder="1" applyAlignment="1">
      <alignment horizontal="center" vertical="center" wrapText="1"/>
    </xf>
    <xf numFmtId="0" fontId="0" fillId="0" borderId="30" xfId="0" applyBorder="1" applyAlignment="1">
      <alignment vertical="center"/>
    </xf>
    <xf numFmtId="0" fontId="0" fillId="0" borderId="32" xfId="0" applyBorder="1" applyAlignment="1">
      <alignment vertical="center"/>
    </xf>
    <xf numFmtId="0" fontId="23" fillId="3" borderId="8" xfId="0" applyFont="1" applyFill="1" applyBorder="1" applyAlignment="1">
      <alignment horizontal="center" vertical="center" wrapText="1"/>
    </xf>
    <xf numFmtId="0" fontId="0" fillId="0" borderId="33" xfId="0" applyBorder="1" applyAlignment="1">
      <alignment vertical="center" wrapText="1"/>
    </xf>
    <xf numFmtId="0" fontId="1" fillId="0" borderId="12" xfId="0" applyFont="1" applyBorder="1" applyAlignment="1">
      <alignment horizontal="center" vertical="center" wrapText="1"/>
    </xf>
    <xf numFmtId="0" fontId="13" fillId="0" borderId="0" xfId="0" applyFont="1"/>
    <xf numFmtId="0" fontId="0" fillId="3" borderId="0" xfId="0" applyFill="1"/>
    <xf numFmtId="0" fontId="0" fillId="0" borderId="0" xfId="0" applyAlignment="1">
      <alignment horizontal="center"/>
    </xf>
    <xf numFmtId="0" fontId="59" fillId="0" borderId="0" xfId="0" applyFont="1"/>
    <xf numFmtId="0" fontId="59" fillId="13" borderId="29" xfId="0" applyFont="1" applyFill="1" applyBorder="1"/>
    <xf numFmtId="0" fontId="59" fillId="8" borderId="29" xfId="0" applyFont="1" applyFill="1" applyBorder="1"/>
    <xf numFmtId="0" fontId="59" fillId="6" borderId="29" xfId="0" applyFont="1" applyFill="1" applyBorder="1"/>
    <xf numFmtId="0" fontId="59" fillId="23" borderId="29" xfId="0" applyFont="1" applyFill="1" applyBorder="1"/>
    <xf numFmtId="0" fontId="59" fillId="24" borderId="29" xfId="0" applyFont="1" applyFill="1" applyBorder="1"/>
    <xf numFmtId="0" fontId="59" fillId="10" borderId="29" xfId="0" applyFont="1" applyFill="1" applyBorder="1"/>
    <xf numFmtId="0" fontId="59" fillId="21" borderId="29" xfId="0" applyFont="1" applyFill="1" applyBorder="1"/>
    <xf numFmtId="0" fontId="59" fillId="12" borderId="35" xfId="0" applyFont="1" applyFill="1" applyBorder="1"/>
    <xf numFmtId="0" fontId="23" fillId="8" borderId="1" xfId="0" applyFont="1" applyFill="1" applyBorder="1" applyAlignment="1">
      <alignment horizontal="center" vertical="center" wrapText="1"/>
    </xf>
    <xf numFmtId="0" fontId="23" fillId="8" borderId="2" xfId="0" applyFont="1" applyFill="1" applyBorder="1" applyAlignment="1">
      <alignment horizontal="center" vertical="center" wrapText="1"/>
    </xf>
    <xf numFmtId="0" fontId="23" fillId="8" borderId="28" xfId="0" applyFont="1" applyFill="1" applyBorder="1" applyAlignment="1">
      <alignment horizontal="center" vertical="center" wrapText="1"/>
    </xf>
    <xf numFmtId="0" fontId="23" fillId="8" borderId="28" xfId="0" applyFont="1" applyFill="1" applyBorder="1" applyAlignment="1">
      <alignment horizontal="center" vertical="center"/>
    </xf>
    <xf numFmtId="0" fontId="61" fillId="0" borderId="13" xfId="0" applyFont="1" applyBorder="1" applyAlignment="1">
      <alignment horizontal="center" vertical="center"/>
    </xf>
    <xf numFmtId="0" fontId="61" fillId="0" borderId="14" xfId="0" applyFont="1" applyBorder="1" applyAlignment="1">
      <alignment horizontal="center" vertical="center" wrapText="1"/>
    </xf>
    <xf numFmtId="0" fontId="0" fillId="3" borderId="14" xfId="0" applyFill="1" applyBorder="1" applyAlignment="1">
      <alignment horizontal="center" vertical="center" wrapText="1"/>
    </xf>
    <xf numFmtId="0" fontId="0" fillId="0" borderId="30" xfId="0" applyBorder="1" applyAlignment="1">
      <alignment horizontal="left" vertical="center" wrapText="1"/>
    </xf>
    <xf numFmtId="0" fontId="61" fillId="0" borderId="5" xfId="0" applyFont="1" applyBorder="1" applyAlignment="1">
      <alignment horizontal="center" vertical="center"/>
    </xf>
    <xf numFmtId="0" fontId="61" fillId="0" borderId="6" xfId="0" applyFont="1" applyBorder="1" applyAlignment="1">
      <alignment horizontal="center" vertical="center" wrapText="1"/>
    </xf>
    <xf numFmtId="0" fontId="0" fillId="0" borderId="32" xfId="0" applyBorder="1" applyAlignment="1">
      <alignment horizontal="center" vertical="center" wrapText="1"/>
    </xf>
    <xf numFmtId="0" fontId="0" fillId="0" borderId="32" xfId="0" applyBorder="1" applyAlignment="1">
      <alignment vertical="center" wrapText="1"/>
    </xf>
    <xf numFmtId="0" fontId="61" fillId="0" borderId="6" xfId="0" applyFont="1" applyBorder="1" applyAlignment="1">
      <alignment vertical="center" wrapText="1"/>
    </xf>
    <xf numFmtId="0" fontId="0" fillId="0" borderId="32" xfId="0" applyBorder="1" applyAlignment="1">
      <alignment horizontal="left" vertical="center" wrapText="1"/>
    </xf>
    <xf numFmtId="0" fontId="23" fillId="0" borderId="32" xfId="0" applyFont="1" applyBorder="1" applyAlignment="1">
      <alignment vertical="center" wrapText="1"/>
    </xf>
    <xf numFmtId="0" fontId="0" fillId="8" borderId="32" xfId="0" applyFill="1" applyBorder="1" applyAlignment="1">
      <alignment vertical="center" wrapText="1"/>
    </xf>
    <xf numFmtId="0" fontId="0" fillId="3" borderId="6" xfId="0" applyFill="1" applyBorder="1" applyAlignment="1">
      <alignment horizontal="center" vertical="center"/>
    </xf>
    <xf numFmtId="0" fontId="23" fillId="0" borderId="32" xfId="0" applyFont="1" applyBorder="1" applyAlignment="1">
      <alignment horizontal="center" vertical="center" wrapText="1"/>
    </xf>
    <xf numFmtId="0" fontId="0" fillId="0" borderId="32" xfId="0" applyBorder="1" applyAlignment="1">
      <alignment horizontal="left" vertical="top" wrapText="1"/>
    </xf>
    <xf numFmtId="0" fontId="61" fillId="0" borderId="7" xfId="0" applyFont="1" applyBorder="1" applyAlignment="1">
      <alignment horizontal="center" vertical="center"/>
    </xf>
    <xf numFmtId="0" fontId="61" fillId="0" borderId="8" xfId="0" applyFont="1" applyBorder="1" applyAlignment="1">
      <alignment horizontal="center" vertical="center" wrapText="1"/>
    </xf>
    <xf numFmtId="0" fontId="0" fillId="3" borderId="8" xfId="0" applyFill="1" applyBorder="1" applyAlignment="1">
      <alignment horizontal="center" vertical="center" wrapText="1"/>
    </xf>
    <xf numFmtId="0" fontId="0" fillId="0" borderId="33" xfId="0" applyBorder="1" applyAlignment="1">
      <alignment horizontal="center" vertical="center" wrapText="1"/>
    </xf>
    <xf numFmtId="0" fontId="0" fillId="0" borderId="6" xfId="0" applyBorder="1" applyAlignment="1">
      <alignment vertical="center"/>
    </xf>
    <xf numFmtId="0" fontId="23" fillId="8" borderId="33" xfId="0" applyFont="1" applyFill="1" applyBorder="1" applyAlignment="1">
      <alignment horizontal="left" vertical="center" wrapText="1"/>
    </xf>
    <xf numFmtId="0" fontId="0" fillId="0" borderId="32" xfId="0" applyBorder="1"/>
    <xf numFmtId="0" fontId="0" fillId="3" borderId="8" xfId="0" applyFill="1" applyBorder="1" applyAlignment="1">
      <alignment horizontal="center" vertical="center"/>
    </xf>
    <xf numFmtId="0" fontId="0" fillId="0" borderId="8" xfId="0" applyBorder="1" applyAlignment="1">
      <alignment horizontal="center" vertical="center"/>
    </xf>
    <xf numFmtId="0" fontId="0" fillId="3" borderId="33" xfId="0" applyFill="1" applyBorder="1" applyAlignment="1">
      <alignment horizontal="center" vertical="center" wrapText="1"/>
    </xf>
    <xf numFmtId="0" fontId="0" fillId="3" borderId="0" xfId="0" applyFill="1" applyAlignment="1">
      <alignment horizontal="center"/>
    </xf>
    <xf numFmtId="0" fontId="37" fillId="8" borderId="29" xfId="0" applyFont="1" applyFill="1" applyBorder="1" applyAlignment="1">
      <alignment horizontal="center" vertical="center" wrapText="1"/>
    </xf>
    <xf numFmtId="0" fontId="0" fillId="0" borderId="30" xfId="0" applyBorder="1"/>
    <xf numFmtId="15" fontId="0" fillId="0" borderId="30" xfId="0" applyNumberFormat="1" applyBorder="1" applyAlignment="1">
      <alignment horizontal="center" vertical="center"/>
    </xf>
    <xf numFmtId="0" fontId="0" fillId="13" borderId="30" xfId="0" applyFill="1" applyBorder="1" applyAlignment="1">
      <alignment horizontal="center" vertical="center"/>
    </xf>
    <xf numFmtId="0" fontId="0" fillId="3" borderId="14" xfId="0" applyFill="1" applyBorder="1" applyAlignment="1">
      <alignment horizontal="left" vertical="center" wrapText="1"/>
    </xf>
    <xf numFmtId="0" fontId="0" fillId="3" borderId="30" xfId="0" applyFill="1" applyBorder="1" applyAlignment="1">
      <alignment vertical="center" wrapText="1"/>
    </xf>
    <xf numFmtId="0" fontId="18" fillId="3" borderId="15" xfId="0" applyFont="1" applyFill="1" applyBorder="1" applyAlignment="1">
      <alignment horizontal="center" vertical="center"/>
    </xf>
    <xf numFmtId="0" fontId="0" fillId="3" borderId="0" xfId="0" applyFill="1" applyAlignment="1">
      <alignment wrapText="1"/>
    </xf>
    <xf numFmtId="15" fontId="0" fillId="0" borderId="32" xfId="0" applyNumberFormat="1" applyBorder="1" applyAlignment="1">
      <alignment horizontal="center" vertical="center"/>
    </xf>
    <xf numFmtId="0" fontId="0" fillId="13" borderId="32" xfId="0" applyFill="1" applyBorder="1" applyAlignment="1">
      <alignment horizontal="center" vertical="center"/>
    </xf>
    <xf numFmtId="0" fontId="18" fillId="3" borderId="11" xfId="0" applyFont="1" applyFill="1" applyBorder="1" applyAlignment="1">
      <alignment horizontal="center" vertical="center"/>
    </xf>
    <xf numFmtId="0" fontId="0" fillId="0" borderId="32" xfId="0" applyBorder="1" applyAlignment="1">
      <alignment horizontal="center" vertical="center"/>
    </xf>
    <xf numFmtId="0" fontId="38" fillId="3" borderId="6" xfId="0" applyFont="1" applyFill="1" applyBorder="1" applyAlignment="1">
      <alignment horizontal="center" vertical="center" wrapText="1"/>
    </xf>
    <xf numFmtId="0" fontId="39" fillId="13" borderId="32" xfId="0" applyFont="1" applyFill="1" applyBorder="1" applyAlignment="1">
      <alignment horizontal="center" vertical="center" wrapText="1"/>
    </xf>
    <xf numFmtId="0" fontId="0" fillId="3" borderId="0" xfId="0" applyFill="1" applyAlignment="1">
      <alignment vertical="center" wrapText="1"/>
    </xf>
    <xf numFmtId="0" fontId="0" fillId="23" borderId="32" xfId="0" applyFill="1" applyBorder="1" applyAlignment="1">
      <alignment horizontal="center" vertical="center" wrapText="1"/>
    </xf>
    <xf numFmtId="0" fontId="0" fillId="3" borderId="32" xfId="0" applyFill="1" applyBorder="1" applyAlignment="1">
      <alignment wrapText="1"/>
    </xf>
    <xf numFmtId="14" fontId="0" fillId="10" borderId="32" xfId="0" applyNumberFormat="1" applyFill="1" applyBorder="1" applyAlignment="1">
      <alignment horizontal="center" vertical="center" wrapText="1"/>
    </xf>
    <xf numFmtId="15" fontId="0" fillId="0" borderId="33" xfId="0" applyNumberFormat="1" applyBorder="1" applyAlignment="1">
      <alignment horizontal="center" vertical="center" wrapText="1"/>
    </xf>
    <xf numFmtId="0" fontId="0" fillId="10" borderId="33" xfId="0" applyFill="1" applyBorder="1" applyAlignment="1">
      <alignment horizontal="center" vertical="center" wrapText="1"/>
    </xf>
    <xf numFmtId="15" fontId="0" fillId="0" borderId="32" xfId="0" applyNumberFormat="1" applyBorder="1" applyAlignment="1">
      <alignment horizontal="center" vertical="center" wrapText="1"/>
    </xf>
    <xf numFmtId="0" fontId="0" fillId="6" borderId="32" xfId="0" applyFill="1" applyBorder="1" applyAlignment="1">
      <alignment horizontal="center" vertical="center"/>
    </xf>
    <xf numFmtId="0" fontId="18" fillId="3" borderId="6" xfId="0" applyFont="1" applyFill="1" applyBorder="1" applyAlignment="1">
      <alignment horizontal="center" vertical="center"/>
    </xf>
    <xf numFmtId="0" fontId="0" fillId="3" borderId="60" xfId="0" applyFill="1" applyBorder="1"/>
    <xf numFmtId="0" fontId="23" fillId="0" borderId="33" xfId="0" applyFont="1" applyBorder="1" applyAlignment="1">
      <alignment horizontal="left" vertical="center" wrapText="1"/>
    </xf>
    <xf numFmtId="15" fontId="0" fillId="0" borderId="33" xfId="0" applyNumberFormat="1" applyBorder="1" applyAlignment="1">
      <alignment horizontal="center" vertical="center"/>
    </xf>
    <xf numFmtId="0" fontId="0" fillId="6" borderId="33" xfId="0" applyFill="1" applyBorder="1" applyAlignment="1">
      <alignment horizontal="center" vertical="center"/>
    </xf>
    <xf numFmtId="0" fontId="0" fillId="3" borderId="32" xfId="0" applyFill="1" applyBorder="1"/>
    <xf numFmtId="0" fontId="0" fillId="0" borderId="32" xfId="0" applyBorder="1" applyAlignment="1">
      <alignment wrapText="1"/>
    </xf>
    <xf numFmtId="0" fontId="0" fillId="24" borderId="33" xfId="0" applyFill="1" applyBorder="1" applyAlignment="1">
      <alignment horizontal="center" vertical="center"/>
    </xf>
    <xf numFmtId="0" fontId="18" fillId="3" borderId="12" xfId="0" applyFont="1" applyFill="1" applyBorder="1" applyAlignment="1">
      <alignment horizontal="center" vertical="center"/>
    </xf>
    <xf numFmtId="0" fontId="0" fillId="11" borderId="1" xfId="0" applyFill="1" applyBorder="1" applyAlignment="1">
      <alignment horizontal="center" vertical="center"/>
    </xf>
    <xf numFmtId="0" fontId="0" fillId="11" borderId="9" xfId="0" applyFill="1" applyBorder="1" applyAlignment="1">
      <alignment horizontal="center" vertical="center"/>
    </xf>
    <xf numFmtId="0" fontId="0" fillId="0" borderId="13" xfId="0" applyBorder="1" applyAlignment="1">
      <alignment horizontal="left" vertical="center"/>
    </xf>
    <xf numFmtId="0" fontId="62" fillId="8" borderId="14" xfId="0" applyFont="1" applyFill="1" applyBorder="1" applyAlignment="1">
      <alignment horizontal="center" vertical="center"/>
    </xf>
    <xf numFmtId="0" fontId="0" fillId="0" borderId="5" xfId="0" applyBorder="1" applyAlignment="1">
      <alignment horizontal="left" vertical="center"/>
    </xf>
    <xf numFmtId="0" fontId="63" fillId="21" borderId="6" xfId="0" applyFont="1" applyFill="1" applyBorder="1" applyAlignment="1">
      <alignment horizontal="center" vertical="center"/>
    </xf>
    <xf numFmtId="0" fontId="63" fillId="4" borderId="6" xfId="0" applyFont="1" applyFill="1" applyBorder="1" applyAlignment="1">
      <alignment horizontal="center" vertical="center"/>
    </xf>
    <xf numFmtId="0" fontId="63" fillId="6" borderId="6" xfId="0" applyFont="1" applyFill="1" applyBorder="1" applyAlignment="1">
      <alignment horizontal="center" vertical="center"/>
    </xf>
    <xf numFmtId="0" fontId="63" fillId="10" borderId="6" xfId="0" applyFont="1" applyFill="1" applyBorder="1" applyAlignment="1">
      <alignment horizontal="center" vertical="center"/>
    </xf>
    <xf numFmtId="0" fontId="63" fillId="7" borderId="6" xfId="0" applyFont="1" applyFill="1" applyBorder="1" applyAlignment="1">
      <alignment horizontal="center" vertical="center"/>
    </xf>
    <xf numFmtId="0" fontId="0" fillId="0" borderId="7" xfId="0" applyBorder="1" applyAlignment="1">
      <alignment horizontal="left" vertical="center"/>
    </xf>
    <xf numFmtId="0" fontId="63" fillId="3" borderId="6" xfId="0" applyFont="1" applyFill="1" applyBorder="1" applyAlignment="1">
      <alignment horizontal="center" vertical="center"/>
    </xf>
    <xf numFmtId="0" fontId="64" fillId="2" borderId="8" xfId="0" applyFont="1" applyFill="1" applyBorder="1" applyAlignment="1">
      <alignment horizontal="center" vertical="center"/>
    </xf>
    <xf numFmtId="0" fontId="0" fillId="11" borderId="1" xfId="0" applyFill="1" applyBorder="1" applyAlignment="1">
      <alignment horizontal="center"/>
    </xf>
    <xf numFmtId="0" fontId="0" fillId="11" borderId="9" xfId="0" applyFill="1" applyBorder="1" applyAlignment="1">
      <alignment horizontal="center"/>
    </xf>
    <xf numFmtId="0" fontId="0" fillId="8" borderId="15" xfId="0" applyFill="1" applyBorder="1" applyAlignment="1">
      <alignment horizontal="center" vertical="center"/>
    </xf>
    <xf numFmtId="0" fontId="0" fillId="21" borderId="11" xfId="0" applyFill="1" applyBorder="1" applyAlignment="1">
      <alignment horizontal="center" vertical="center"/>
    </xf>
    <xf numFmtId="0" fontId="0" fillId="4" borderId="11" xfId="0" applyFill="1" applyBorder="1" applyAlignment="1">
      <alignment horizontal="center" vertical="center"/>
    </xf>
    <xf numFmtId="0" fontId="0" fillId="6" borderId="11" xfId="0" applyFill="1" applyBorder="1" applyAlignment="1">
      <alignment horizontal="center" vertical="center"/>
    </xf>
    <xf numFmtId="4" fontId="0" fillId="10" borderId="11" xfId="0" applyNumberFormat="1" applyFill="1" applyBorder="1" applyAlignment="1">
      <alignment horizontal="center" vertical="center"/>
    </xf>
    <xf numFmtId="0" fontId="0" fillId="7" borderId="11" xfId="0" applyFill="1" applyBorder="1" applyAlignment="1">
      <alignment horizontal="center" vertical="center"/>
    </xf>
    <xf numFmtId="0" fontId="0" fillId="2" borderId="29" xfId="0" applyFill="1" applyBorder="1" applyAlignment="1">
      <alignment horizontal="center" vertical="center"/>
    </xf>
    <xf numFmtId="0" fontId="65" fillId="10" borderId="3" xfId="0" applyFont="1" applyFill="1" applyBorder="1" applyAlignment="1">
      <alignment horizontal="center" vertical="center" wrapText="1"/>
    </xf>
    <xf numFmtId="0" fontId="65" fillId="10" borderId="4" xfId="0" applyFont="1" applyFill="1" applyBorder="1" applyAlignment="1">
      <alignment horizontal="center" vertical="center" wrapText="1"/>
    </xf>
    <xf numFmtId="0" fontId="65" fillId="10" borderId="10" xfId="0" applyFont="1" applyFill="1" applyBorder="1" applyAlignment="1">
      <alignment horizontal="center" vertical="center" wrapText="1"/>
    </xf>
    <xf numFmtId="0" fontId="65" fillId="8" borderId="5" xfId="0" applyFont="1" applyFill="1" applyBorder="1" applyAlignment="1">
      <alignment horizontal="left" vertical="center"/>
    </xf>
    <xf numFmtId="0" fontId="62" fillId="8" borderId="6" xfId="0" applyFont="1" applyFill="1" applyBorder="1" applyAlignment="1">
      <alignment horizontal="center" vertical="center"/>
    </xf>
    <xf numFmtId="4" fontId="63" fillId="8" borderId="6" xfId="0" applyNumberFormat="1" applyFont="1" applyFill="1" applyBorder="1" applyAlignment="1">
      <alignment horizontal="center" vertical="center" wrapText="1"/>
    </xf>
    <xf numFmtId="0" fontId="0" fillId="8" borderId="11" xfId="0" applyFill="1" applyBorder="1"/>
    <xf numFmtId="0" fontId="65" fillId="21" borderId="5" xfId="0" applyFont="1" applyFill="1" applyBorder="1" applyAlignment="1">
      <alignment horizontal="left" vertical="center"/>
    </xf>
    <xf numFmtId="4" fontId="63" fillId="21" borderId="6" xfId="0" applyNumberFormat="1" applyFont="1" applyFill="1" applyBorder="1" applyAlignment="1">
      <alignment horizontal="center" vertical="center" wrapText="1"/>
    </xf>
    <xf numFmtId="0" fontId="0" fillId="21" borderId="11" xfId="0" applyFill="1" applyBorder="1"/>
    <xf numFmtId="0" fontId="8" fillId="0" borderId="0" xfId="0" applyFont="1"/>
    <xf numFmtId="0" fontId="65" fillId="4" borderId="5" xfId="0" applyFont="1" applyFill="1" applyBorder="1" applyAlignment="1">
      <alignment horizontal="left" vertical="center"/>
    </xf>
    <xf numFmtId="4" fontId="63" fillId="4" borderId="6" xfId="0" applyNumberFormat="1" applyFont="1" applyFill="1" applyBorder="1" applyAlignment="1">
      <alignment horizontal="center" vertical="center" wrapText="1"/>
    </xf>
    <xf numFmtId="0" fontId="0" fillId="4" borderId="11" xfId="0" applyFill="1" applyBorder="1"/>
    <xf numFmtId="0" fontId="65" fillId="6" borderId="5" xfId="0" applyFont="1" applyFill="1" applyBorder="1" applyAlignment="1">
      <alignment horizontal="left" vertical="center"/>
    </xf>
    <xf numFmtId="4" fontId="63" fillId="6" borderId="6" xfId="0" applyNumberFormat="1" applyFont="1" applyFill="1" applyBorder="1" applyAlignment="1">
      <alignment horizontal="center" vertical="center" wrapText="1"/>
    </xf>
    <xf numFmtId="0" fontId="0" fillId="6" borderId="11" xfId="0" applyFill="1" applyBorder="1"/>
    <xf numFmtId="0" fontId="65" fillId="10" borderId="5" xfId="0" applyFont="1" applyFill="1" applyBorder="1" applyAlignment="1">
      <alignment horizontal="left" vertical="center"/>
    </xf>
    <xf numFmtId="4" fontId="63" fillId="10" borderId="6" xfId="0" applyNumberFormat="1" applyFont="1" applyFill="1" applyBorder="1" applyAlignment="1">
      <alignment horizontal="center" vertical="center" wrapText="1"/>
    </xf>
    <xf numFmtId="4" fontId="0" fillId="10" borderId="11" xfId="0" applyNumberFormat="1" applyFill="1" applyBorder="1"/>
    <xf numFmtId="0" fontId="65" fillId="7" borderId="5" xfId="0" applyFont="1" applyFill="1" applyBorder="1" applyAlignment="1">
      <alignment horizontal="left" vertical="center"/>
    </xf>
    <xf numFmtId="4" fontId="63" fillId="7" borderId="6" xfId="0" applyNumberFormat="1" applyFont="1" applyFill="1" applyBorder="1" applyAlignment="1">
      <alignment horizontal="center" vertical="center" wrapText="1"/>
    </xf>
    <xf numFmtId="0" fontId="0" fillId="7" borderId="11" xfId="0" applyFill="1" applyBorder="1"/>
    <xf numFmtId="0" fontId="7" fillId="0" borderId="0" xfId="0" applyFont="1"/>
    <xf numFmtId="0" fontId="65" fillId="3" borderId="5" xfId="0" applyFont="1" applyFill="1" applyBorder="1" applyAlignment="1">
      <alignment horizontal="left" vertical="center"/>
    </xf>
    <xf numFmtId="4" fontId="63" fillId="3" borderId="6" xfId="0" applyNumberFormat="1" applyFont="1" applyFill="1" applyBorder="1" applyAlignment="1">
      <alignment horizontal="center" vertical="center" wrapText="1"/>
    </xf>
    <xf numFmtId="0" fontId="0" fillId="0" borderId="11" xfId="0" applyBorder="1"/>
    <xf numFmtId="0" fontId="64" fillId="2" borderId="7" xfId="0" applyFont="1" applyFill="1" applyBorder="1" applyAlignment="1">
      <alignment horizontal="left" vertical="center" wrapText="1"/>
    </xf>
    <xf numFmtId="4" fontId="64" fillId="2" borderId="8" xfId="0" applyNumberFormat="1" applyFont="1" applyFill="1" applyBorder="1" applyAlignment="1">
      <alignment horizontal="center" vertical="center" wrapText="1"/>
    </xf>
    <xf numFmtId="0" fontId="64" fillId="2" borderId="12" xfId="0" applyFont="1" applyFill="1" applyBorder="1" applyAlignment="1">
      <alignment horizontal="center" vertical="center" wrapText="1"/>
    </xf>
    <xf numFmtId="0" fontId="0" fillId="8" borderId="1" xfId="0" applyFill="1" applyBorder="1" applyAlignment="1">
      <alignment horizontal="center" vertical="center"/>
    </xf>
    <xf numFmtId="0" fontId="0" fillId="8" borderId="9" xfId="0" applyFill="1" applyBorder="1" applyAlignment="1">
      <alignment horizontal="center" vertical="center"/>
    </xf>
    <xf numFmtId="0" fontId="66" fillId="3" borderId="1" xfId="0" applyFont="1" applyFill="1" applyBorder="1" applyAlignment="1">
      <alignment horizontal="center" vertical="center" wrapText="1"/>
    </xf>
    <xf numFmtId="0" fontId="66" fillId="3" borderId="61" xfId="0" applyFont="1" applyFill="1" applyBorder="1" applyAlignment="1">
      <alignment horizontal="center" vertical="center"/>
    </xf>
    <xf numFmtId="0" fontId="66" fillId="3" borderId="2" xfId="0" applyFont="1" applyFill="1" applyBorder="1" applyAlignment="1">
      <alignment horizontal="center" vertical="center"/>
    </xf>
    <xf numFmtId="0" fontId="66" fillId="2" borderId="2" xfId="0" applyFont="1" applyFill="1" applyBorder="1" applyAlignment="1">
      <alignment vertical="center" wrapText="1"/>
    </xf>
    <xf numFmtId="0" fontId="66" fillId="4" borderId="2" xfId="0" applyFont="1" applyFill="1" applyBorder="1" applyAlignment="1">
      <alignment vertical="center" wrapText="1"/>
    </xf>
    <xf numFmtId="0" fontId="66" fillId="3" borderId="59" xfId="0" applyFont="1" applyFill="1" applyBorder="1" applyAlignment="1">
      <alignment horizontal="center" vertical="center" wrapText="1"/>
    </xf>
    <xf numFmtId="0" fontId="0" fillId="4" borderId="14" xfId="0" applyFill="1" applyBorder="1" applyAlignment="1">
      <alignment horizontal="center"/>
    </xf>
    <xf numFmtId="0" fontId="4" fillId="4" borderId="14" xfId="0" applyFont="1" applyFill="1" applyBorder="1"/>
    <xf numFmtId="4" fontId="0" fillId="4" borderId="14" xfId="0" applyNumberFormat="1" applyFill="1" applyBorder="1"/>
    <xf numFmtId="0" fontId="0" fillId="4" borderId="6" xfId="0" applyFill="1" applyBorder="1" applyAlignment="1">
      <alignment horizontal="center"/>
    </xf>
    <xf numFmtId="0" fontId="4" fillId="4" borderId="6" xfId="0" applyFont="1" applyFill="1" applyBorder="1"/>
    <xf numFmtId="4" fontId="0" fillId="4" borderId="6" xfId="0" applyNumberFormat="1" applyFill="1" applyBorder="1"/>
    <xf numFmtId="0" fontId="0" fillId="13" borderId="20" xfId="0" applyFill="1" applyBorder="1" applyAlignment="1">
      <alignment horizontal="center" vertical="center"/>
    </xf>
    <xf numFmtId="0" fontId="0" fillId="13" borderId="6" xfId="0" applyFill="1" applyBorder="1" applyAlignment="1">
      <alignment horizontal="center"/>
    </xf>
    <xf numFmtId="0" fontId="67" fillId="13" borderId="6" xfId="0" applyFont="1" applyFill="1" applyBorder="1" applyAlignment="1">
      <alignment horizontal="left" vertical="center"/>
    </xf>
    <xf numFmtId="4" fontId="0" fillId="13" borderId="6" xfId="0" applyNumberFormat="1" applyFill="1" applyBorder="1"/>
    <xf numFmtId="0" fontId="0" fillId="25" borderId="6" xfId="0" applyFill="1" applyBorder="1" applyAlignment="1">
      <alignment horizontal="center"/>
    </xf>
    <xf numFmtId="0" fontId="67" fillId="25" borderId="6" xfId="0" applyFont="1" applyFill="1" applyBorder="1" applyAlignment="1">
      <alignment horizontal="left" vertical="center"/>
    </xf>
    <xf numFmtId="4" fontId="0" fillId="25" borderId="6" xfId="0" applyNumberFormat="1" applyFill="1" applyBorder="1"/>
    <xf numFmtId="3" fontId="0" fillId="25" borderId="6" xfId="0" applyNumberFormat="1" applyFill="1" applyBorder="1"/>
    <xf numFmtId="0" fontId="2" fillId="25" borderId="6" xfId="0" applyFont="1" applyFill="1" applyBorder="1"/>
    <xf numFmtId="0" fontId="0" fillId="23" borderId="6" xfId="0" applyFill="1" applyBorder="1" applyAlignment="1">
      <alignment horizontal="center"/>
    </xf>
    <xf numFmtId="0" fontId="67" fillId="23" borderId="6" xfId="0" applyFont="1" applyFill="1" applyBorder="1" applyAlignment="1">
      <alignment horizontal="left" vertical="center"/>
    </xf>
    <xf numFmtId="4" fontId="0" fillId="23" borderId="6" xfId="0" applyNumberFormat="1" applyFill="1" applyBorder="1"/>
    <xf numFmtId="0" fontId="0" fillId="23" borderId="6" xfId="0" applyFill="1" applyBorder="1"/>
    <xf numFmtId="0" fontId="0" fillId="26" borderId="5" xfId="0" applyFill="1" applyBorder="1" applyAlignment="1">
      <alignment horizontal="center" vertical="center"/>
    </xf>
    <xf numFmtId="0" fontId="0" fillId="26" borderId="64" xfId="0" applyFill="1" applyBorder="1" applyAlignment="1">
      <alignment horizontal="center" vertical="center"/>
    </xf>
    <xf numFmtId="0" fontId="0" fillId="26" borderId="6" xfId="0" applyFill="1" applyBorder="1" applyAlignment="1">
      <alignment horizontal="center"/>
    </xf>
    <xf numFmtId="0" fontId="67" fillId="26" borderId="6" xfId="0" applyFont="1" applyFill="1" applyBorder="1" applyAlignment="1">
      <alignment horizontal="left" vertical="center"/>
    </xf>
    <xf numFmtId="0" fontId="0" fillId="26" borderId="6" xfId="0" applyFill="1" applyBorder="1"/>
    <xf numFmtId="4" fontId="0" fillId="26" borderId="6" xfId="0" applyNumberFormat="1" applyFill="1" applyBorder="1"/>
    <xf numFmtId="4" fontId="0" fillId="26" borderId="6" xfId="0" applyNumberFormat="1" applyFill="1" applyBorder="1" applyAlignment="1">
      <alignment vertical="center"/>
    </xf>
    <xf numFmtId="0" fontId="0" fillId="8" borderId="5" xfId="0" applyFill="1" applyBorder="1" applyAlignment="1">
      <alignment horizontal="center"/>
    </xf>
    <xf numFmtId="0" fontId="0" fillId="8" borderId="64" xfId="0" applyFill="1" applyBorder="1" applyAlignment="1">
      <alignment horizontal="center"/>
    </xf>
    <xf numFmtId="0" fontId="67" fillId="8" borderId="6" xfId="0" applyFont="1" applyFill="1" applyBorder="1" applyAlignment="1">
      <alignment horizontal="left" vertical="center"/>
    </xf>
    <xf numFmtId="4" fontId="0" fillId="8" borderId="6" xfId="0" applyNumberFormat="1" applyFill="1" applyBorder="1"/>
    <xf numFmtId="4" fontId="0" fillId="8" borderId="6" xfId="0" applyNumberFormat="1" applyFill="1" applyBorder="1" applyAlignment="1">
      <alignment vertical="center"/>
    </xf>
    <xf numFmtId="0" fontId="0" fillId="21" borderId="7" xfId="0" applyFill="1" applyBorder="1" applyAlignment="1">
      <alignment horizontal="center"/>
    </xf>
    <xf numFmtId="0" fontId="0" fillId="21" borderId="65" xfId="0" applyFill="1" applyBorder="1" applyAlignment="1">
      <alignment horizontal="center"/>
    </xf>
    <xf numFmtId="0" fontId="0" fillId="21" borderId="8" xfId="0" applyFill="1" applyBorder="1" applyAlignment="1">
      <alignment horizontal="center"/>
    </xf>
    <xf numFmtId="0" fontId="67" fillId="21" borderId="8" xfId="0" applyFont="1" applyFill="1" applyBorder="1" applyAlignment="1">
      <alignment horizontal="left" vertical="center"/>
    </xf>
    <xf numFmtId="4" fontId="0" fillId="21" borderId="8" xfId="0" applyNumberFormat="1" applyFill="1" applyBorder="1"/>
    <xf numFmtId="4" fontId="0" fillId="21" borderId="8" xfId="0" applyNumberFormat="1" applyFill="1" applyBorder="1" applyAlignment="1">
      <alignment vertical="center"/>
    </xf>
    <xf numFmtId="0" fontId="0" fillId="0" borderId="1" xfId="0" applyBorder="1"/>
    <xf numFmtId="0" fontId="0" fillId="0" borderId="2" xfId="0" applyBorder="1" applyAlignment="1">
      <alignment horizontal="center"/>
    </xf>
    <xf numFmtId="0" fontId="0" fillId="0" borderId="2" xfId="0" applyBorder="1"/>
    <xf numFmtId="4" fontId="0" fillId="0" borderId="2" xfId="0" applyNumberFormat="1" applyBorder="1"/>
    <xf numFmtId="0" fontId="8" fillId="0" borderId="1" xfId="0" applyFont="1" applyBorder="1" applyAlignment="1">
      <alignment horizontal="center"/>
    </xf>
    <xf numFmtId="0" fontId="13" fillId="0" borderId="9" xfId="0" applyFont="1" applyBorder="1" applyAlignment="1">
      <alignment horizontal="center"/>
    </xf>
    <xf numFmtId="0" fontId="57" fillId="0" borderId="0" xfId="0" applyFont="1"/>
    <xf numFmtId="0" fontId="66" fillId="3" borderId="29" xfId="0" applyFont="1" applyFill="1" applyBorder="1" applyAlignment="1">
      <alignment horizontal="center" vertical="center" wrapText="1"/>
    </xf>
    <xf numFmtId="0" fontId="0" fillId="26" borderId="11" xfId="0" applyFill="1" applyBorder="1"/>
    <xf numFmtId="0" fontId="0" fillId="21" borderId="12" xfId="0" applyFill="1" applyBorder="1"/>
    <xf numFmtId="4" fontId="0" fillId="0" borderId="9" xfId="0" applyNumberFormat="1" applyBorder="1" applyAlignment="1">
      <alignment horizontal="center"/>
    </xf>
    <xf numFmtId="3" fontId="0" fillId="0" borderId="0" xfId="0" applyNumberFormat="1"/>
    <xf numFmtId="0" fontId="0" fillId="8" borderId="3" xfId="0" applyFill="1" applyBorder="1" applyAlignment="1">
      <alignment horizontal="center" vertical="center"/>
    </xf>
    <xf numFmtId="0" fontId="0" fillId="8" borderId="10" xfId="0" applyFill="1" applyBorder="1" applyAlignment="1">
      <alignment horizontal="center" vertical="center"/>
    </xf>
    <xf numFmtId="4" fontId="0" fillId="0" borderId="12" xfId="0" applyNumberFormat="1" applyBorder="1" applyAlignment="1">
      <alignment horizontal="center" vertical="center"/>
    </xf>
    <xf numFmtId="169" fontId="0" fillId="0" borderId="0" xfId="0" applyNumberFormat="1" applyAlignment="1">
      <alignment horizontal="center" vertical="center"/>
    </xf>
    <xf numFmtId="0" fontId="0" fillId="4" borderId="3" xfId="0" applyFill="1" applyBorder="1" applyAlignment="1">
      <alignment horizontal="center"/>
    </xf>
    <xf numFmtId="0" fontId="0" fillId="4" borderId="10" xfId="0" applyFill="1" applyBorder="1" applyAlignment="1">
      <alignment horizontal="center"/>
    </xf>
    <xf numFmtId="0" fontId="35" fillId="0" borderId="11" xfId="0" applyFont="1" applyBorder="1" applyAlignment="1">
      <alignment horizontal="center"/>
    </xf>
    <xf numFmtId="0" fontId="0" fillId="0" borderId="19" xfId="0" applyBorder="1" applyAlignment="1">
      <alignment horizontal="center"/>
    </xf>
    <xf numFmtId="4" fontId="35" fillId="0" borderId="21" xfId="0" applyNumberFormat="1" applyFont="1" applyBorder="1" applyAlignment="1">
      <alignment horizontal="center"/>
    </xf>
    <xf numFmtId="4" fontId="0" fillId="0" borderId="12" xfId="0" applyNumberFormat="1" applyBorder="1" applyAlignment="1">
      <alignment horizontal="center"/>
    </xf>
    <xf numFmtId="0" fontId="39" fillId="0" borderId="0" xfId="0" applyFont="1"/>
    <xf numFmtId="0" fontId="0" fillId="8" borderId="1" xfId="0" applyFill="1" applyBorder="1" applyAlignment="1">
      <alignment horizontal="center"/>
    </xf>
    <xf numFmtId="0" fontId="0" fillId="8" borderId="2" xfId="0" applyFill="1" applyBorder="1" applyAlignment="1">
      <alignment horizontal="center"/>
    </xf>
    <xf numFmtId="0" fontId="0" fillId="8" borderId="9" xfId="0" applyFill="1" applyBorder="1"/>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2" fontId="35" fillId="0" borderId="6" xfId="0" applyNumberFormat="1" applyFont="1" applyBorder="1" applyAlignment="1">
      <alignment horizontal="center"/>
    </xf>
    <xf numFmtId="2" fontId="0" fillId="0" borderId="0" xfId="0" applyNumberFormat="1"/>
    <xf numFmtId="2" fontId="58" fillId="0" borderId="8" xfId="0" applyNumberFormat="1" applyFont="1" applyBorder="1" applyAlignment="1">
      <alignment horizontal="center"/>
    </xf>
    <xf numFmtId="0" fontId="35" fillId="0" borderId="12" xfId="0" applyFont="1" applyBorder="1" applyAlignment="1">
      <alignment horizontal="center"/>
    </xf>
    <xf numFmtId="2" fontId="58" fillId="0" borderId="0" xfId="0" applyNumberFormat="1" applyFont="1" applyAlignment="1">
      <alignment horizontal="center"/>
    </xf>
    <xf numFmtId="0" fontId="35" fillId="0" borderId="0" xfId="0" applyFont="1" applyAlignment="1">
      <alignment horizontal="center"/>
    </xf>
    <xf numFmtId="0" fontId="0" fillId="8" borderId="3" xfId="0" applyFill="1" applyBorder="1" applyAlignment="1">
      <alignment horizontal="center"/>
    </xf>
    <xf numFmtId="0" fontId="0" fillId="8" borderId="4" xfId="0" applyFill="1" applyBorder="1" applyAlignment="1">
      <alignment horizontal="center"/>
    </xf>
    <xf numFmtId="0" fontId="0" fillId="8" borderId="10" xfId="0" applyFill="1" applyBorder="1"/>
    <xf numFmtId="4" fontId="0" fillId="0" borderId="6" xfId="0" applyNumberFormat="1" applyBorder="1"/>
    <xf numFmtId="4" fontId="0" fillId="0" borderId="8" xfId="0" applyNumberFormat="1" applyBorder="1"/>
    <xf numFmtId="0" fontId="0" fillId="0" borderId="63" xfId="0" applyFill="1" applyBorder="1" applyAlignment="1">
      <alignment horizontal="center"/>
    </xf>
    <xf numFmtId="0" fontId="0" fillId="0" borderId="66" xfId="0" applyFill="1" applyBorder="1" applyAlignment="1">
      <alignment horizontal="center"/>
    </xf>
    <xf numFmtId="0" fontId="23" fillId="7" borderId="8" xfId="0" applyFont="1" applyFill="1" applyBorder="1" applyAlignment="1">
      <alignment horizontal="center"/>
    </xf>
    <xf numFmtId="0" fontId="5" fillId="2" borderId="8" xfId="0" applyFont="1" applyFill="1" applyBorder="1" applyAlignment="1">
      <alignment horizontal="center"/>
    </xf>
    <xf numFmtId="0" fontId="5" fillId="4" borderId="8" xfId="0" applyFont="1" applyFill="1" applyBorder="1" applyAlignment="1">
      <alignment horizontal="center"/>
    </xf>
    <xf numFmtId="0" fontId="0" fillId="3" borderId="14" xfId="0" applyFill="1" applyBorder="1" applyAlignment="1">
      <alignment horizontal="center" vertical="center"/>
    </xf>
    <xf numFmtId="4" fontId="0" fillId="3" borderId="14" xfId="0" applyNumberFormat="1" applyFill="1" applyBorder="1" applyAlignment="1">
      <alignment horizontal="center" vertical="center"/>
    </xf>
    <xf numFmtId="3" fontId="0" fillId="3" borderId="14" xfId="0" applyNumberFormat="1" applyFill="1" applyBorder="1" applyAlignment="1">
      <alignment horizontal="center" vertical="center"/>
    </xf>
    <xf numFmtId="4" fontId="0" fillId="3" borderId="6" xfId="0" applyNumberFormat="1" applyFill="1" applyBorder="1" applyAlignment="1">
      <alignment horizontal="center" vertical="center"/>
    </xf>
    <xf numFmtId="3" fontId="0" fillId="3" borderId="6" xfId="0" applyNumberFormat="1" applyFill="1" applyBorder="1" applyAlignment="1">
      <alignment horizontal="center" vertical="center"/>
    </xf>
    <xf numFmtId="4" fontId="39" fillId="0" borderId="6" xfId="0" applyNumberFormat="1" applyFont="1" applyBorder="1" applyAlignment="1">
      <alignment horizontal="center" vertical="center"/>
    </xf>
    <xf numFmtId="4" fontId="35" fillId="3" borderId="6" xfId="0" applyNumberFormat="1" applyFont="1" applyFill="1" applyBorder="1" applyAlignment="1">
      <alignment horizontal="center" vertical="center"/>
    </xf>
    <xf numFmtId="4" fontId="0" fillId="0" borderId="6" xfId="0" applyNumberFormat="1" applyBorder="1" applyAlignment="1">
      <alignment horizontal="center" vertical="center"/>
    </xf>
    <xf numFmtId="4" fontId="0" fillId="27" borderId="6" xfId="0" applyNumberFormat="1" applyFill="1" applyBorder="1" applyAlignment="1">
      <alignment horizontal="center" vertical="center"/>
    </xf>
    <xf numFmtId="3" fontId="0" fillId="27" borderId="6" xfId="0" applyNumberFormat="1" applyFill="1" applyBorder="1" applyAlignment="1">
      <alignment horizontal="center" vertical="center"/>
    </xf>
    <xf numFmtId="0" fontId="23" fillId="8"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5" fillId="7" borderId="10" xfId="0" applyFont="1" applyFill="1" applyBorder="1" applyAlignment="1">
      <alignment horizontal="center" vertical="center"/>
    </xf>
    <xf numFmtId="0" fontId="0" fillId="3" borderId="5" xfId="0" applyFill="1" applyBorder="1" applyAlignment="1">
      <alignment horizontal="center" vertical="center"/>
    </xf>
    <xf numFmtId="0" fontId="38" fillId="3" borderId="11" xfId="0" applyFont="1" applyFill="1" applyBorder="1" applyAlignment="1">
      <alignment horizontal="center" vertical="center"/>
    </xf>
    <xf numFmtId="4" fontId="35" fillId="0" borderId="6" xfId="0" applyNumberFormat="1" applyFont="1" applyBorder="1" applyAlignment="1">
      <alignment horizontal="center" vertical="center"/>
    </xf>
    <xf numFmtId="0" fontId="38" fillId="0" borderId="0" xfId="0" applyFont="1" applyAlignment="1">
      <alignment horizontal="center" vertical="center"/>
    </xf>
    <xf numFmtId="0" fontId="0" fillId="3" borderId="11" xfId="0" applyFill="1" applyBorder="1" applyAlignment="1">
      <alignment horizontal="center" vertical="center"/>
    </xf>
    <xf numFmtId="0" fontId="23" fillId="4" borderId="8" xfId="0" applyFont="1" applyFill="1" applyBorder="1" applyAlignment="1">
      <alignment horizontal="center"/>
    </xf>
    <xf numFmtId="0" fontId="23" fillId="7" borderId="12" xfId="0" applyFont="1" applyFill="1" applyBorder="1" applyAlignment="1">
      <alignment horizontal="center"/>
    </xf>
    <xf numFmtId="0" fontId="0" fillId="27" borderId="6" xfId="0" applyFill="1" applyBorder="1" applyAlignment="1">
      <alignment horizontal="center" vertical="center"/>
    </xf>
    <xf numFmtId="0" fontId="0" fillId="28" borderId="1" xfId="0" applyFill="1" applyBorder="1" applyAlignment="1">
      <alignment horizontal="center" vertical="center" wrapText="1"/>
    </xf>
    <xf numFmtId="0" fontId="0" fillId="28" borderId="2" xfId="0" applyFill="1" applyBorder="1" applyAlignment="1">
      <alignment horizontal="center" vertical="center" wrapText="1"/>
    </xf>
    <xf numFmtId="0" fontId="0" fillId="28" borderId="2" xfId="0" applyFill="1" applyBorder="1" applyAlignment="1">
      <alignment horizontal="center" vertical="center"/>
    </xf>
    <xf numFmtId="0" fontId="0" fillId="28" borderId="2" xfId="0" applyFill="1" applyBorder="1" applyAlignment="1">
      <alignment horizontal="center" wrapText="1"/>
    </xf>
    <xf numFmtId="0" fontId="0" fillId="28" borderId="9" xfId="0" applyFill="1" applyBorder="1" applyAlignment="1">
      <alignment horizontal="center" wrapText="1"/>
    </xf>
    <xf numFmtId="0" fontId="0" fillId="0" borderId="13" xfId="0" applyBorder="1"/>
    <xf numFmtId="4" fontId="0" fillId="0" borderId="14" xfId="0" applyNumberFormat="1" applyBorder="1"/>
    <xf numFmtId="2" fontId="0" fillId="0" borderId="14" xfId="0" applyNumberFormat="1" applyBorder="1" applyAlignment="1">
      <alignment horizontal="center"/>
    </xf>
    <xf numFmtId="0" fontId="0" fillId="0" borderId="15" xfId="0" applyBorder="1"/>
    <xf numFmtId="0" fontId="0" fillId="0" borderId="5" xfId="0" applyBorder="1"/>
    <xf numFmtId="0" fontId="35" fillId="0" borderId="6" xfId="0" applyFont="1" applyBorder="1" applyAlignment="1">
      <alignment horizontal="center"/>
    </xf>
    <xf numFmtId="0" fontId="0" fillId="0" borderId="19" xfId="0" applyBorder="1"/>
    <xf numFmtId="0" fontId="0" fillId="0" borderId="20" xfId="0" applyBorder="1" applyAlignment="1">
      <alignment horizontal="center"/>
    </xf>
    <xf numFmtId="4" fontId="0" fillId="0" borderId="20" xfId="0" applyNumberFormat="1" applyBorder="1"/>
    <xf numFmtId="0" fontId="0" fillId="2" borderId="1" xfId="0" applyFill="1" applyBorder="1"/>
    <xf numFmtId="0" fontId="0" fillId="2" borderId="2" xfId="0" applyFill="1" applyBorder="1" applyAlignment="1">
      <alignment horizontal="center"/>
    </xf>
    <xf numFmtId="4" fontId="0" fillId="2" borderId="2" xfId="0" applyNumberFormat="1" applyFill="1" applyBorder="1" applyAlignment="1">
      <alignment horizontal="center"/>
    </xf>
    <xf numFmtId="0" fontId="0" fillId="2" borderId="9" xfId="0" applyFill="1" applyBorder="1" applyAlignment="1">
      <alignment horizontal="center"/>
    </xf>
    <xf numFmtId="0" fontId="0" fillId="0" borderId="29" xfId="0" applyBorder="1" applyAlignment="1">
      <alignment horizontal="center" vertical="center"/>
    </xf>
    <xf numFmtId="0" fontId="0" fillId="13" borderId="1" xfId="0" applyFill="1" applyBorder="1" applyAlignment="1">
      <alignment horizontal="center" vertical="center"/>
    </xf>
    <xf numFmtId="0" fontId="23" fillId="13" borderId="2" xfId="0" applyFont="1" applyFill="1" applyBorder="1" applyAlignment="1">
      <alignment horizontal="center" vertical="center"/>
    </xf>
    <xf numFmtId="0" fontId="0" fillId="0" borderId="2" xfId="0" applyBorder="1" applyAlignment="1">
      <alignment horizontal="center" vertical="center"/>
    </xf>
    <xf numFmtId="0" fontId="23" fillId="0" borderId="2" xfId="0" applyFont="1" applyBorder="1" applyAlignment="1">
      <alignment horizontal="center" vertical="center"/>
    </xf>
    <xf numFmtId="0" fontId="0" fillId="13" borderId="2" xfId="0" applyFill="1" applyBorder="1" applyAlignment="1">
      <alignment horizontal="center" vertical="center"/>
    </xf>
    <xf numFmtId="0" fontId="2" fillId="0" borderId="74" xfId="0" applyFont="1" applyBorder="1" applyAlignment="1">
      <alignment horizontal="center" vertical="center"/>
    </xf>
    <xf numFmtId="0" fontId="0" fillId="13" borderId="4" xfId="0" applyFill="1" applyBorder="1" applyAlignment="1">
      <alignment horizontal="center" vertical="center"/>
    </xf>
    <xf numFmtId="0" fontId="23" fillId="13" borderId="4" xfId="0" applyFont="1" applyFill="1" applyBorder="1" applyAlignment="1">
      <alignment horizontal="center" vertical="center"/>
    </xf>
    <xf numFmtId="0" fontId="0" fillId="0" borderId="4" xfId="0" applyBorder="1" applyAlignment="1">
      <alignment horizontal="center" vertical="center"/>
    </xf>
    <xf numFmtId="0" fontId="23" fillId="0" borderId="4" xfId="0" applyFont="1" applyBorder="1" applyAlignment="1">
      <alignment horizontal="center" vertical="center"/>
    </xf>
    <xf numFmtId="0" fontId="2" fillId="0" borderId="75" xfId="0" applyFont="1" applyBorder="1" applyAlignment="1">
      <alignment horizontal="center" vertical="center"/>
    </xf>
    <xf numFmtId="2" fontId="23" fillId="13" borderId="6" xfId="0" applyNumberFormat="1" applyFont="1" applyFill="1" applyBorder="1" applyAlignment="1">
      <alignment horizontal="center" vertical="center"/>
    </xf>
    <xf numFmtId="0" fontId="23" fillId="0" borderId="6" xfId="0" applyFont="1" applyBorder="1" applyAlignment="1">
      <alignment horizontal="center" vertical="center"/>
    </xf>
    <xf numFmtId="0" fontId="23" fillId="13" borderId="6" xfId="0" applyFont="1" applyFill="1" applyBorder="1" applyAlignment="1">
      <alignment horizontal="center" vertical="center"/>
    </xf>
    <xf numFmtId="0" fontId="2" fillId="3" borderId="75" xfId="0" applyFont="1" applyFill="1" applyBorder="1" applyAlignment="1">
      <alignment horizontal="center" vertical="center"/>
    </xf>
    <xf numFmtId="0" fontId="23" fillId="3" borderId="6" xfId="0" applyFont="1" applyFill="1" applyBorder="1" applyAlignment="1">
      <alignment horizontal="center" vertical="center"/>
    </xf>
    <xf numFmtId="0" fontId="2" fillId="0" borderId="76" xfId="0" applyFont="1" applyBorder="1" applyAlignment="1">
      <alignment horizontal="center" vertical="center"/>
    </xf>
    <xf numFmtId="0" fontId="23" fillId="13" borderId="20" xfId="0" applyFont="1" applyFill="1" applyBorder="1" applyAlignment="1">
      <alignment horizontal="center" vertical="center"/>
    </xf>
    <xf numFmtId="0" fontId="23" fillId="0" borderId="20" xfId="0" applyFont="1" applyBorder="1" applyAlignment="1">
      <alignment horizontal="center" vertical="center"/>
    </xf>
    <xf numFmtId="0" fontId="2" fillId="0" borderId="7" xfId="0" applyFont="1" applyBorder="1" applyAlignment="1">
      <alignment horizontal="center" vertical="center" wrapText="1"/>
    </xf>
    <xf numFmtId="0" fontId="0" fillId="13" borderId="8" xfId="0" applyFill="1" applyBorder="1" applyAlignment="1">
      <alignment horizontal="center" vertical="center"/>
    </xf>
    <xf numFmtId="0" fontId="23" fillId="13" borderId="8" xfId="0" applyFont="1" applyFill="1" applyBorder="1" applyAlignment="1">
      <alignment horizontal="center" vertical="center"/>
    </xf>
    <xf numFmtId="0" fontId="23" fillId="0" borderId="8" xfId="0" applyFont="1" applyBorder="1" applyAlignment="1">
      <alignment horizontal="center" vertical="center"/>
    </xf>
    <xf numFmtId="0" fontId="2" fillId="0" borderId="77" xfId="0" applyFont="1" applyBorder="1" applyAlignment="1">
      <alignment horizontal="center" vertical="center"/>
    </xf>
    <xf numFmtId="0" fontId="23" fillId="13" borderId="14" xfId="0" applyFont="1" applyFill="1" applyBorder="1" applyAlignment="1">
      <alignment horizontal="center" vertical="center"/>
    </xf>
    <xf numFmtId="0" fontId="27" fillId="0" borderId="6" xfId="0" applyFont="1" applyBorder="1" applyAlignment="1">
      <alignment horizontal="center" vertical="center" wrapText="1"/>
    </xf>
    <xf numFmtId="0" fontId="23" fillId="0" borderId="14" xfId="0" applyFont="1" applyBorder="1" applyAlignment="1">
      <alignment horizontal="center" vertical="center"/>
    </xf>
    <xf numFmtId="0" fontId="0" fillId="0" borderId="2" xfId="0" applyBorder="1" applyAlignment="1">
      <alignment horizontal="center" vertical="center" wrapText="1"/>
    </xf>
    <xf numFmtId="4" fontId="23" fillId="13" borderId="6" xfId="0" applyNumberFormat="1" applyFont="1" applyFill="1" applyBorder="1" applyAlignment="1">
      <alignment horizontal="center" vertical="center"/>
    </xf>
    <xf numFmtId="0" fontId="23" fillId="13" borderId="28" xfId="0" applyFont="1" applyFill="1" applyBorder="1" applyAlignment="1">
      <alignment horizontal="center" vertical="center"/>
    </xf>
    <xf numFmtId="0" fontId="23" fillId="13" borderId="69" xfId="0" applyFont="1" applyFill="1" applyBorder="1" applyAlignment="1">
      <alignment horizontal="center" vertical="center"/>
    </xf>
    <xf numFmtId="0" fontId="23" fillId="13" borderId="32" xfId="0" applyFont="1" applyFill="1" applyBorder="1" applyAlignment="1">
      <alignment horizontal="center" vertical="center"/>
    </xf>
    <xf numFmtId="2" fontId="23" fillId="13" borderId="32" xfId="0" applyNumberFormat="1" applyFont="1" applyFill="1" applyBorder="1" applyAlignment="1">
      <alignment horizontal="center" vertical="center"/>
    </xf>
    <xf numFmtId="0" fontId="23" fillId="13" borderId="78" xfId="0" applyFont="1" applyFill="1" applyBorder="1" applyAlignment="1">
      <alignment horizontal="center" vertical="center"/>
    </xf>
    <xf numFmtId="0" fontId="23" fillId="13" borderId="33" xfId="0" applyFont="1" applyFill="1" applyBorder="1" applyAlignment="1">
      <alignment horizontal="center" vertical="center"/>
    </xf>
    <xf numFmtId="0" fontId="0" fillId="0" borderId="1" xfId="0" applyBorder="1" applyAlignment="1">
      <alignment horizontal="center" vertical="center"/>
    </xf>
    <xf numFmtId="0" fontId="23" fillId="0" borderId="9" xfId="0" applyFont="1" applyBorder="1" applyAlignment="1">
      <alignment horizontal="center" vertical="center"/>
    </xf>
    <xf numFmtId="0" fontId="0" fillId="0" borderId="61" xfId="0" applyBorder="1" applyAlignment="1">
      <alignment horizontal="center" vertical="center"/>
    </xf>
    <xf numFmtId="0" fontId="0" fillId="0" borderId="9" xfId="0" applyBorder="1" applyAlignment="1">
      <alignment horizontal="center" vertical="center"/>
    </xf>
    <xf numFmtId="0" fontId="0" fillId="0" borderId="3" xfId="0" applyBorder="1" applyAlignment="1">
      <alignment horizontal="center" vertical="center"/>
    </xf>
    <xf numFmtId="0" fontId="23" fillId="0" borderId="10" xfId="0" applyFont="1" applyBorder="1" applyAlignment="1">
      <alignment horizontal="center" vertical="center"/>
    </xf>
    <xf numFmtId="0" fontId="0" fillId="0" borderId="71" xfId="0" applyBorder="1" applyAlignment="1">
      <alignment horizontal="center" vertical="center"/>
    </xf>
    <xf numFmtId="4" fontId="0" fillId="0" borderId="10" xfId="0" applyNumberFormat="1" applyBorder="1" applyAlignment="1">
      <alignment horizontal="center" vertical="center"/>
    </xf>
    <xf numFmtId="0" fontId="23" fillId="0" borderId="11" xfId="0" applyFont="1" applyBorder="1" applyAlignment="1">
      <alignment horizontal="center" vertical="center"/>
    </xf>
    <xf numFmtId="0" fontId="0" fillId="0" borderId="64" xfId="0" applyBorder="1" applyAlignment="1">
      <alignment horizontal="center" vertical="center"/>
    </xf>
    <xf numFmtId="4" fontId="0" fillId="0" borderId="11" xfId="0" applyNumberFormat="1" applyBorder="1" applyAlignment="1">
      <alignment horizontal="center" vertical="center"/>
    </xf>
    <xf numFmtId="0" fontId="0" fillId="6" borderId="0" xfId="0" applyFill="1"/>
    <xf numFmtId="2" fontId="23" fillId="3" borderId="11" xfId="0" applyNumberFormat="1" applyFont="1" applyFill="1" applyBorder="1" applyAlignment="1">
      <alignment horizontal="center" vertical="center"/>
    </xf>
    <xf numFmtId="0" fontId="0" fillId="3" borderId="64" xfId="0" applyFill="1" applyBorder="1" applyAlignment="1">
      <alignment horizontal="center" vertical="center"/>
    </xf>
    <xf numFmtId="4" fontId="0" fillId="3" borderId="11" xfId="0" applyNumberFormat="1" applyFill="1" applyBorder="1" applyAlignment="1">
      <alignment horizontal="center" vertical="center"/>
    </xf>
    <xf numFmtId="0" fontId="0" fillId="3" borderId="6" xfId="0" applyFill="1" applyBorder="1"/>
    <xf numFmtId="4" fontId="0" fillId="3" borderId="6" xfId="0" applyNumberFormat="1" applyFill="1" applyBorder="1"/>
    <xf numFmtId="0" fontId="23" fillId="0" borderId="21" xfId="0" applyFont="1" applyBorder="1" applyAlignment="1">
      <alignment horizontal="center" vertical="center"/>
    </xf>
    <xf numFmtId="0" fontId="0" fillId="0" borderId="79" xfId="0" applyBorder="1" applyAlignment="1">
      <alignment horizontal="center" vertical="center"/>
    </xf>
    <xf numFmtId="4" fontId="0" fillId="0" borderId="21" xfId="0" applyNumberFormat="1" applyBorder="1" applyAlignment="1">
      <alignment horizontal="center" vertical="center"/>
    </xf>
    <xf numFmtId="0" fontId="23" fillId="0" borderId="12" xfId="0" applyFont="1" applyBorder="1" applyAlignment="1">
      <alignment horizontal="center" vertical="center"/>
    </xf>
    <xf numFmtId="0" fontId="0" fillId="0" borderId="65" xfId="0" applyBorder="1" applyAlignment="1">
      <alignment horizontal="center" vertical="center"/>
    </xf>
    <xf numFmtId="0" fontId="4" fillId="3" borderId="6" xfId="0" applyFont="1" applyFill="1" applyBorder="1" applyAlignment="1">
      <alignment horizontal="left" vertical="center" wrapText="1"/>
    </xf>
    <xf numFmtId="0" fontId="0" fillId="13" borderId="2" xfId="0" applyFill="1" applyBorder="1" applyAlignment="1">
      <alignment horizontal="center" vertical="center" wrapText="1"/>
    </xf>
    <xf numFmtId="0" fontId="23" fillId="0" borderId="3" xfId="0" applyFont="1" applyBorder="1" applyAlignment="1">
      <alignment horizontal="center" vertical="center"/>
    </xf>
    <xf numFmtId="0" fontId="23" fillId="13" borderId="9" xfId="0" applyFont="1" applyFill="1" applyBorder="1" applyAlignment="1">
      <alignment horizontal="center" vertical="center"/>
    </xf>
    <xf numFmtId="0" fontId="23" fillId="13" borderId="10" xfId="0" applyFont="1" applyFill="1" applyBorder="1" applyAlignment="1">
      <alignment horizontal="center" vertical="center"/>
    </xf>
    <xf numFmtId="0" fontId="23" fillId="13" borderId="11" xfId="0" applyFont="1" applyFill="1" applyBorder="1" applyAlignment="1">
      <alignment horizontal="center" vertical="center"/>
    </xf>
    <xf numFmtId="169" fontId="23" fillId="13" borderId="11" xfId="0" applyNumberFormat="1" applyFont="1" applyFill="1" applyBorder="1" applyAlignment="1">
      <alignment horizontal="center" vertical="center"/>
    </xf>
    <xf numFmtId="176" fontId="23" fillId="13" borderId="11" xfId="0" applyNumberFormat="1" applyFont="1" applyFill="1" applyBorder="1" applyAlignment="1">
      <alignment horizontal="center" vertical="center"/>
    </xf>
    <xf numFmtId="0" fontId="23" fillId="13" borderId="21" xfId="0" applyFont="1" applyFill="1" applyBorder="1" applyAlignment="1">
      <alignment horizontal="center" vertical="center"/>
    </xf>
    <xf numFmtId="0" fontId="23" fillId="13" borderId="12" xfId="0" applyFont="1" applyFill="1" applyBorder="1" applyAlignment="1">
      <alignment horizontal="center" vertical="center"/>
    </xf>
    <xf numFmtId="0" fontId="3" fillId="13" borderId="1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14" borderId="6" xfId="0" applyFont="1" applyFill="1" applyBorder="1" applyAlignment="1">
      <alignment horizontal="center" vertical="center" wrapText="1"/>
    </xf>
    <xf numFmtId="0" fontId="21" fillId="16" borderId="6" xfId="0" applyFont="1" applyFill="1" applyBorder="1" applyAlignment="1">
      <alignment horizontal="center" vertical="center" wrapText="1"/>
    </xf>
    <xf numFmtId="4" fontId="24" fillId="14" borderId="14" xfId="0" applyNumberFormat="1" applyFont="1" applyFill="1" applyBorder="1" applyAlignment="1">
      <alignment horizontal="center" vertical="center"/>
    </xf>
    <xf numFmtId="4" fontId="14" fillId="16" borderId="14" xfId="0" applyNumberFormat="1" applyFont="1" applyFill="1" applyBorder="1" applyAlignment="1">
      <alignment horizontal="center" vertical="center"/>
    </xf>
    <xf numFmtId="4" fontId="3" fillId="14" borderId="6" xfId="0" applyNumberFormat="1" applyFont="1" applyFill="1" applyBorder="1" applyAlignment="1">
      <alignment horizontal="center" vertical="center"/>
    </xf>
    <xf numFmtId="4" fontId="3" fillId="16" borderId="6" xfId="0" applyNumberFormat="1" applyFont="1" applyFill="1" applyBorder="1" applyAlignment="1">
      <alignment horizontal="center" vertical="center"/>
    </xf>
    <xf numFmtId="4" fontId="14" fillId="16" borderId="6" xfId="3" applyNumberFormat="1" applyFont="1" applyFill="1" applyBorder="1" applyAlignment="1">
      <alignment horizontal="center" vertical="center" wrapText="1"/>
    </xf>
    <xf numFmtId="4" fontId="14" fillId="16" borderId="6" xfId="80" applyNumberFormat="1" applyFont="1" applyFill="1" applyBorder="1" applyAlignment="1">
      <alignment horizontal="center" vertical="center" wrapText="1"/>
    </xf>
    <xf numFmtId="4" fontId="14" fillId="16" borderId="6" xfId="0" applyNumberFormat="1" applyFont="1" applyFill="1" applyBorder="1" applyAlignment="1">
      <alignment horizontal="center" vertical="center" wrapText="1"/>
    </xf>
    <xf numFmtId="4" fontId="4" fillId="16" borderId="6" xfId="0" applyNumberFormat="1" applyFont="1" applyFill="1" applyBorder="1" applyAlignment="1">
      <alignment horizontal="center" vertical="center"/>
    </xf>
    <xf numFmtId="17" fontId="4" fillId="0" borderId="6" xfId="0" applyNumberFormat="1" applyFont="1" applyBorder="1" applyAlignment="1">
      <alignment horizontal="center" vertical="center" wrapText="1"/>
    </xf>
    <xf numFmtId="0" fontId="61" fillId="0" borderId="0" xfId="0" applyFont="1"/>
    <xf numFmtId="4" fontId="61" fillId="0" borderId="6" xfId="0" applyNumberFormat="1" applyFont="1" applyBorder="1" applyAlignment="1">
      <alignment horizontal="center" vertical="center" wrapText="1"/>
    </xf>
    <xf numFmtId="0" fontId="61" fillId="0" borderId="6" xfId="0" applyFont="1" applyBorder="1" applyAlignment="1">
      <alignment horizontal="center" wrapText="1"/>
    </xf>
    <xf numFmtId="164" fontId="0" fillId="0" borderId="6" xfId="3" applyFont="1" applyBorder="1" applyAlignment="1">
      <alignment horizontal="center" vertical="center"/>
    </xf>
    <xf numFmtId="2" fontId="0" fillId="0" borderId="6" xfId="0" applyNumberFormat="1" applyBorder="1" applyAlignment="1">
      <alignment horizontal="center" vertical="center"/>
    </xf>
    <xf numFmtId="0" fontId="61" fillId="0" borderId="6" xfId="0" applyFont="1" applyBorder="1" applyAlignment="1">
      <alignment horizontal="left"/>
    </xf>
    <xf numFmtId="0" fontId="0" fillId="0" borderId="6" xfId="0" applyBorder="1" applyAlignment="1">
      <alignment horizontal="left"/>
    </xf>
    <xf numFmtId="164" fontId="0" fillId="8" borderId="6" xfId="3" applyFont="1" applyFill="1" applyBorder="1" applyAlignment="1">
      <alignment horizontal="center" vertical="center"/>
    </xf>
    <xf numFmtId="17" fontId="0" fillId="8" borderId="6" xfId="0" applyNumberFormat="1" applyFill="1" applyBorder="1" applyAlignment="1">
      <alignment horizontal="left"/>
    </xf>
    <xf numFmtId="164" fontId="0" fillId="0" borderId="14" xfId="3" applyFont="1" applyBorder="1" applyAlignment="1">
      <alignment horizontal="center" vertical="center"/>
    </xf>
    <xf numFmtId="2" fontId="0" fillId="0" borderId="14" xfId="0" applyNumberFormat="1" applyBorder="1" applyAlignment="1">
      <alignment horizontal="center" vertical="center"/>
    </xf>
    <xf numFmtId="17" fontId="0" fillId="0" borderId="6" xfId="0" applyNumberFormat="1" applyBorder="1" applyAlignment="1">
      <alignment horizontal="left"/>
    </xf>
    <xf numFmtId="2" fontId="4" fillId="0" borderId="6" xfId="0" applyNumberFormat="1" applyFont="1" applyBorder="1" applyAlignment="1">
      <alignment horizontal="center" vertical="center" wrapText="1"/>
    </xf>
    <xf numFmtId="2" fontId="6" fillId="0" borderId="6" xfId="0" applyNumberFormat="1" applyFont="1" applyBorder="1" applyAlignment="1">
      <alignment horizontal="center" vertical="center" wrapText="1"/>
    </xf>
    <xf numFmtId="17" fontId="0" fillId="0" borderId="6" xfId="0" applyNumberFormat="1" applyBorder="1" applyAlignment="1">
      <alignment horizontal="left" wrapText="1"/>
    </xf>
    <xf numFmtId="2" fontId="6" fillId="0" borderId="14" xfId="0" applyNumberFormat="1" applyFont="1" applyBorder="1" applyAlignment="1">
      <alignment horizontal="center" vertical="center" wrapText="1"/>
    </xf>
    <xf numFmtId="2" fontId="4" fillId="0" borderId="14" xfId="0" applyNumberFormat="1" applyFont="1" applyBorder="1" applyAlignment="1">
      <alignment horizontal="center" vertical="center" wrapText="1"/>
    </xf>
    <xf numFmtId="2" fontId="0" fillId="0" borderId="37" xfId="0" applyNumberFormat="1" applyBorder="1"/>
    <xf numFmtId="0" fontId="0" fillId="0" borderId="59" xfId="0" applyBorder="1"/>
    <xf numFmtId="17" fontId="0" fillId="0" borderId="6" xfId="0" applyNumberFormat="1" applyBorder="1" applyAlignment="1">
      <alignment horizontal="left" vertical="center" wrapText="1"/>
    </xf>
    <xf numFmtId="0" fontId="0" fillId="0" borderId="6" xfId="0" applyBorder="1" applyAlignment="1">
      <alignment horizontal="left" wrapText="1"/>
    </xf>
    <xf numFmtId="168" fontId="0" fillId="0" borderId="6" xfId="3" applyNumberFormat="1" applyFont="1" applyBorder="1" applyAlignment="1">
      <alignment horizontal="center" vertical="center"/>
    </xf>
    <xf numFmtId="164" fontId="0" fillId="0" borderId="20" xfId="3" applyFont="1" applyBorder="1" applyAlignment="1">
      <alignment horizontal="center" vertical="center"/>
    </xf>
    <xf numFmtId="2" fontId="6" fillId="0" borderId="20" xfId="0" applyNumberFormat="1" applyFont="1" applyBorder="1" applyAlignment="1">
      <alignment horizontal="center" vertical="center" wrapText="1"/>
    </xf>
    <xf numFmtId="0" fontId="0" fillId="0" borderId="20" xfId="0" applyBorder="1" applyAlignment="1">
      <alignment horizontal="left" wrapText="1"/>
    </xf>
    <xf numFmtId="168" fontId="0" fillId="0" borderId="20" xfId="3" applyNumberFormat="1" applyFont="1" applyBorder="1" applyAlignment="1">
      <alignment horizontal="center" vertical="center"/>
    </xf>
    <xf numFmtId="17" fontId="0" fillId="0" borderId="20" xfId="0" applyNumberFormat="1" applyBorder="1" applyAlignment="1">
      <alignment horizontal="left" vertical="center" wrapText="1"/>
    </xf>
    <xf numFmtId="2" fontId="69" fillId="0" borderId="6" xfId="0" applyNumberFormat="1" applyFont="1" applyBorder="1" applyAlignment="1">
      <alignment horizontal="center" vertical="center" wrapText="1"/>
    </xf>
    <xf numFmtId="0" fontId="38" fillId="0" borderId="6" xfId="0" applyFont="1" applyBorder="1" applyAlignment="1">
      <alignment horizontal="left" vertical="center" wrapText="1"/>
    </xf>
    <xf numFmtId="168" fontId="38" fillId="0" borderId="6" xfId="3" applyNumberFormat="1" applyFont="1" applyBorder="1" applyAlignment="1">
      <alignment horizontal="center" vertical="center"/>
    </xf>
    <xf numFmtId="17" fontId="38" fillId="0" borderId="6" xfId="0" applyNumberFormat="1" applyFont="1" applyBorder="1" applyAlignment="1">
      <alignment horizontal="left" vertical="center" wrapText="1"/>
    </xf>
    <xf numFmtId="166" fontId="0" fillId="0" borderId="6" xfId="3" applyNumberFormat="1" applyFont="1" applyBorder="1" applyAlignment="1">
      <alignment horizontal="center" vertical="center"/>
    </xf>
    <xf numFmtId="164" fontId="0" fillId="0" borderId="80" xfId="3" applyFont="1" applyBorder="1" applyAlignment="1">
      <alignment horizontal="center" vertical="center"/>
    </xf>
    <xf numFmtId="2" fontId="4" fillId="0" borderId="0" xfId="0" applyNumberFormat="1" applyFont="1" applyBorder="1" applyAlignment="1">
      <alignment horizontal="center" vertical="center" wrapText="1"/>
    </xf>
    <xf numFmtId="0" fontId="0" fillId="0" borderId="0" xfId="0" applyBorder="1" applyAlignment="1">
      <alignment horizontal="left" vertical="center" wrapText="1"/>
    </xf>
    <xf numFmtId="17" fontId="0" fillId="0" borderId="0" xfId="0" applyNumberFormat="1" applyBorder="1" applyAlignment="1">
      <alignment horizontal="left" vertical="center" wrapText="1"/>
    </xf>
    <xf numFmtId="0" fontId="61" fillId="0" borderId="27" xfId="0" applyFont="1" applyBorder="1" applyAlignment="1">
      <alignment horizontal="center" vertical="center"/>
    </xf>
    <xf numFmtId="4" fontId="0" fillId="0" borderId="40" xfId="0" applyNumberFormat="1" applyBorder="1" applyAlignment="1">
      <alignment horizontal="center" vertical="center"/>
    </xf>
    <xf numFmtId="0" fontId="70" fillId="0" borderId="0" xfId="0" applyFont="1" applyAlignment="1">
      <alignment horizontal="center" vertical="center"/>
    </xf>
    <xf numFmtId="0" fontId="39" fillId="0" borderId="0" xfId="0" applyFont="1" applyAlignment="1">
      <alignment horizontal="center" vertical="center"/>
    </xf>
    <xf numFmtId="14" fontId="13" fillId="0" borderId="0" xfId="0" applyNumberFormat="1" applyFont="1" applyAlignment="1">
      <alignment horizontal="center" vertical="top"/>
    </xf>
    <xf numFmtId="0" fontId="71" fillId="0" borderId="6" xfId="0" applyFont="1" applyBorder="1" applyAlignment="1">
      <alignment horizontal="center"/>
    </xf>
    <xf numFmtId="175" fontId="0" fillId="0" borderId="6" xfId="0" applyNumberFormat="1" applyBorder="1"/>
    <xf numFmtId="2" fontId="0" fillId="8" borderId="6" xfId="0" applyNumberFormat="1" applyFill="1" applyBorder="1"/>
    <xf numFmtId="0" fontId="0" fillId="0" borderId="38" xfId="0" applyBorder="1"/>
    <xf numFmtId="0" fontId="2" fillId="8" borderId="6"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14" xfId="0" applyFont="1" applyFill="1" applyBorder="1" applyAlignment="1">
      <alignment horizontal="center" vertical="center"/>
    </xf>
    <xf numFmtId="0" fontId="2" fillId="10" borderId="6" xfId="0" applyFont="1" applyFill="1" applyBorder="1" applyAlignment="1">
      <alignment horizontal="center" vertical="center"/>
    </xf>
    <xf numFmtId="0" fontId="2" fillId="8" borderId="20" xfId="0" applyFont="1" applyFill="1" applyBorder="1" applyAlignment="1">
      <alignment horizontal="center" vertical="center"/>
    </xf>
    <xf numFmtId="0" fontId="4" fillId="0" borderId="2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0" xfId="0" applyFont="1" applyBorder="1" applyAlignment="1">
      <alignment horizontal="center" vertical="center"/>
    </xf>
    <xf numFmtId="0" fontId="72" fillId="0" borderId="6" xfId="0" applyFont="1" applyBorder="1" applyAlignment="1">
      <alignment horizontal="center" vertical="center"/>
    </xf>
    <xf numFmtId="0" fontId="72" fillId="0" borderId="6" xfId="0" applyFont="1" applyBorder="1" applyAlignment="1">
      <alignment horizontal="center" vertical="center" wrapText="1"/>
    </xf>
    <xf numFmtId="174" fontId="4" fillId="0" borderId="6" xfId="0" applyNumberFormat="1" applyFont="1" applyBorder="1" applyAlignment="1">
      <alignment horizontal="center" vertical="center"/>
    </xf>
    <xf numFmtId="174" fontId="4" fillId="3" borderId="6" xfId="0" applyNumberFormat="1" applyFont="1" applyFill="1" applyBorder="1" applyAlignment="1">
      <alignment horizontal="center" vertical="center"/>
    </xf>
    <xf numFmtId="174" fontId="4" fillId="0" borderId="6" xfId="0" applyNumberFormat="1" applyFont="1" applyBorder="1" applyAlignment="1">
      <alignment horizontal="center" vertical="center" wrapText="1" shrinkToFit="1"/>
    </xf>
    <xf numFmtId="4" fontId="4" fillId="2" borderId="20" xfId="0" applyNumberFormat="1" applyFont="1" applyFill="1" applyBorder="1" applyAlignment="1">
      <alignment horizontal="center" vertical="center"/>
    </xf>
    <xf numFmtId="4" fontId="4" fillId="14" borderId="20" xfId="0" applyNumberFormat="1" applyFont="1" applyFill="1" applyBorder="1" applyAlignment="1">
      <alignment horizontal="center" vertical="center"/>
    </xf>
    <xf numFmtId="4" fontId="4" fillId="16" borderId="20" xfId="0" applyNumberFormat="1" applyFont="1" applyFill="1" applyBorder="1" applyAlignment="1">
      <alignment horizontal="center" vertical="center"/>
    </xf>
    <xf numFmtId="174" fontId="4" fillId="3" borderId="20" xfId="0" applyNumberFormat="1" applyFont="1" applyFill="1" applyBorder="1" applyAlignment="1">
      <alignment horizontal="center" vertical="center"/>
    </xf>
    <xf numFmtId="0" fontId="4" fillId="10" borderId="20" xfId="0" applyFont="1" applyFill="1" applyBorder="1" applyAlignment="1">
      <alignment horizontal="center" vertical="center" wrapText="1"/>
    </xf>
    <xf numFmtId="4" fontId="73" fillId="2" borderId="6" xfId="0" applyNumberFormat="1" applyFont="1" applyFill="1" applyBorder="1" applyAlignment="1">
      <alignment horizontal="center" vertical="center"/>
    </xf>
    <xf numFmtId="167" fontId="4" fillId="16" borderId="6" xfId="0" applyNumberFormat="1" applyFont="1" applyFill="1" applyBorder="1" applyAlignment="1">
      <alignment horizontal="center" vertical="center"/>
    </xf>
    <xf numFmtId="174" fontId="3" fillId="0" borderId="6" xfId="0" applyNumberFormat="1" applyFont="1" applyBorder="1" applyAlignment="1">
      <alignment horizontal="center" vertical="center"/>
    </xf>
    <xf numFmtId="172" fontId="4" fillId="2" borderId="6" xfId="0" applyNumberFormat="1" applyFont="1" applyFill="1" applyBorder="1" applyAlignment="1">
      <alignment horizontal="center" vertical="center"/>
    </xf>
    <xf numFmtId="172" fontId="4" fillId="14" borderId="6" xfId="0" applyNumberFormat="1" applyFont="1" applyFill="1" applyBorder="1" applyAlignment="1">
      <alignment horizontal="center" vertical="center"/>
    </xf>
    <xf numFmtId="172" fontId="4" fillId="16" borderId="6" xfId="0" applyNumberFormat="1" applyFont="1" applyFill="1" applyBorder="1" applyAlignment="1">
      <alignment horizontal="center" vertical="center"/>
    </xf>
    <xf numFmtId="0" fontId="4" fillId="10" borderId="0" xfId="0" applyFont="1" applyFill="1" applyAlignment="1">
      <alignment horizontal="center" vertical="center" wrapText="1"/>
    </xf>
    <xf numFmtId="4" fontId="10" fillId="2" borderId="14" xfId="0" applyNumberFormat="1" applyFont="1" applyFill="1" applyBorder="1" applyAlignment="1">
      <alignment horizontal="center" vertical="center"/>
    </xf>
    <xf numFmtId="3" fontId="9" fillId="0" borderId="6" xfId="0" applyNumberFormat="1" applyFont="1" applyBorder="1" applyAlignment="1">
      <alignment horizontal="center" vertical="center" wrapText="1"/>
    </xf>
    <xf numFmtId="0" fontId="3" fillId="13" borderId="6" xfId="0" applyFont="1" applyFill="1" applyBorder="1" applyAlignment="1">
      <alignment horizontal="center" vertical="center"/>
    </xf>
    <xf numFmtId="0" fontId="8" fillId="0" borderId="20" xfId="0" applyFont="1" applyBorder="1" applyAlignment="1">
      <alignment horizontal="center" vertical="center" wrapText="1"/>
    </xf>
    <xf numFmtId="0" fontId="7" fillId="0" borderId="20" xfId="0" applyFont="1" applyBorder="1" applyAlignment="1">
      <alignment horizontal="center" vertical="center" wrapText="1"/>
    </xf>
    <xf numFmtId="0" fontId="14" fillId="4" borderId="6" xfId="0" applyFont="1" applyFill="1" applyBorder="1" applyAlignment="1">
      <alignment horizontal="center" vertical="center" wrapText="1"/>
    </xf>
    <xf numFmtId="0" fontId="4" fillId="0" borderId="6" xfId="0" applyFont="1" applyBorder="1" applyAlignment="1">
      <alignment horizontal="center" vertical="center" wrapText="1" shrinkToFit="1"/>
    </xf>
    <xf numFmtId="0" fontId="4" fillId="0" borderId="0" xfId="0" applyFont="1" applyAlignment="1">
      <alignment horizontal="center" vertical="center" wrapText="1" shrinkToFit="1"/>
    </xf>
    <xf numFmtId="0" fontId="3" fillId="8" borderId="6" xfId="0" applyFont="1" applyFill="1" applyBorder="1" applyAlignment="1">
      <alignment horizontal="center" vertical="center"/>
    </xf>
    <xf numFmtId="0" fontId="8" fillId="0" borderId="0" xfId="0" applyFont="1" applyAlignment="1">
      <alignment horizontal="center" vertical="center" wrapText="1"/>
    </xf>
    <xf numFmtId="0" fontId="3" fillId="4" borderId="6" xfId="0" applyFont="1" applyFill="1" applyBorder="1" applyAlignment="1">
      <alignment horizontal="center" vertical="center" wrapText="1"/>
    </xf>
    <xf numFmtId="0" fontId="3" fillId="5" borderId="6" xfId="0" applyFont="1" applyFill="1" applyBorder="1" applyAlignment="1">
      <alignment horizontal="center" vertical="center" wrapText="1"/>
    </xf>
    <xf numFmtId="4" fontId="3" fillId="0" borderId="0" xfId="0" applyNumberFormat="1" applyFont="1" applyAlignment="1">
      <alignment horizontal="center" vertical="center"/>
    </xf>
    <xf numFmtId="4" fontId="4" fillId="2" borderId="6" xfId="0" applyNumberFormat="1" applyFont="1" applyFill="1" applyBorder="1" applyAlignment="1">
      <alignment horizontal="center" vertical="center" wrapText="1"/>
    </xf>
    <xf numFmtId="4" fontId="14" fillId="14" borderId="6" xfId="0" applyNumberFormat="1" applyFont="1" applyFill="1" applyBorder="1" applyAlignment="1">
      <alignment horizontal="center" vertical="center" wrapText="1"/>
    </xf>
    <xf numFmtId="4" fontId="12" fillId="2" borderId="6" xfId="0" applyNumberFormat="1" applyFont="1" applyFill="1" applyBorder="1" applyAlignment="1">
      <alignment horizontal="center" vertical="center"/>
    </xf>
    <xf numFmtId="4" fontId="12" fillId="14" borderId="6" xfId="0" applyNumberFormat="1" applyFont="1" applyFill="1" applyBorder="1" applyAlignment="1">
      <alignment horizontal="center" vertical="center"/>
    </xf>
    <xf numFmtId="4" fontId="12" fillId="16" borderId="6" xfId="0" applyNumberFormat="1" applyFont="1" applyFill="1" applyBorder="1" applyAlignment="1">
      <alignment horizontal="center" vertical="center"/>
    </xf>
    <xf numFmtId="0" fontId="21" fillId="8" borderId="9" xfId="0" applyFont="1" applyFill="1" applyBorder="1" applyAlignment="1">
      <alignment horizontal="center" vertical="center" wrapText="1"/>
    </xf>
    <xf numFmtId="0" fontId="14" fillId="8" borderId="14" xfId="0" applyFont="1" applyFill="1" applyBorder="1" applyAlignment="1">
      <alignment horizontal="center" vertical="center" wrapText="1"/>
    </xf>
    <xf numFmtId="3" fontId="14" fillId="3" borderId="6" xfId="0" applyNumberFormat="1" applyFont="1" applyFill="1" applyBorder="1" applyAlignment="1">
      <alignment horizontal="center" vertical="center" wrapText="1"/>
    </xf>
    <xf numFmtId="4" fontId="4" fillId="3" borderId="0" xfId="0" applyNumberFormat="1" applyFont="1" applyFill="1" applyAlignment="1">
      <alignment horizontal="center" vertical="center" wrapText="1"/>
    </xf>
    <xf numFmtId="3" fontId="14" fillId="3" borderId="0" xfId="0" applyNumberFormat="1" applyFont="1" applyFill="1" applyAlignment="1">
      <alignment horizontal="center" vertical="center" wrapText="1"/>
    </xf>
    <xf numFmtId="4" fontId="4" fillId="3" borderId="0" xfId="0" applyNumberFormat="1" applyFont="1" applyFill="1" applyAlignment="1">
      <alignment horizontal="center" vertical="center"/>
    </xf>
    <xf numFmtId="3" fontId="14" fillId="3" borderId="6" xfId="0" applyNumberFormat="1" applyFont="1" applyFill="1" applyBorder="1" applyAlignment="1">
      <alignment horizontal="center" vertical="center"/>
    </xf>
    <xf numFmtId="3" fontId="14" fillId="3" borderId="0" xfId="0" applyNumberFormat="1" applyFont="1" applyFill="1" applyAlignment="1">
      <alignment horizontal="center" vertical="center"/>
    </xf>
    <xf numFmtId="3" fontId="3" fillId="3" borderId="6" xfId="0" applyNumberFormat="1" applyFont="1" applyFill="1" applyBorder="1" applyAlignment="1">
      <alignment horizontal="center" vertical="center"/>
    </xf>
    <xf numFmtId="3" fontId="4" fillId="3" borderId="0" xfId="0" applyNumberFormat="1" applyFont="1" applyFill="1" applyAlignment="1">
      <alignment horizontal="center" vertical="center"/>
    </xf>
    <xf numFmtId="14" fontId="3" fillId="3" borderId="6" xfId="0" applyNumberFormat="1" applyFont="1" applyFill="1" applyBorder="1" applyAlignment="1">
      <alignment horizontal="center" vertical="center" wrapText="1"/>
    </xf>
    <xf numFmtId="3" fontId="14" fillId="0" borderId="0" xfId="0" applyNumberFormat="1" applyFont="1" applyAlignment="1">
      <alignment horizontal="center" vertical="center" wrapText="1"/>
    </xf>
    <xf numFmtId="174" fontId="4" fillId="0" borderId="6" xfId="0" applyNumberFormat="1" applyFont="1" applyBorder="1" applyAlignment="1">
      <alignment horizontal="center" vertical="center" wrapText="1"/>
    </xf>
    <xf numFmtId="0" fontId="7" fillId="0" borderId="6" xfId="0" applyFont="1" applyBorder="1" applyAlignment="1">
      <alignment horizontal="center" vertical="center" wrapText="1" shrinkToFit="1"/>
    </xf>
    <xf numFmtId="0" fontId="14" fillId="13" borderId="6" xfId="0" applyFont="1" applyFill="1" applyBorder="1" applyAlignment="1">
      <alignment horizontal="center" vertical="center"/>
    </xf>
    <xf numFmtId="4" fontId="11" fillId="2" borderId="6" xfId="0" applyNumberFormat="1" applyFont="1" applyFill="1" applyBorder="1" applyAlignment="1">
      <alignment horizontal="center" vertical="center"/>
    </xf>
    <xf numFmtId="4" fontId="11" fillId="14" borderId="6" xfId="0" applyNumberFormat="1" applyFont="1" applyFill="1" applyBorder="1" applyAlignment="1">
      <alignment horizontal="center" vertical="center"/>
    </xf>
    <xf numFmtId="4" fontId="74" fillId="16" borderId="6" xfId="0" applyNumberFormat="1" applyFont="1" applyFill="1" applyBorder="1" applyAlignment="1">
      <alignment horizontal="center" vertical="center"/>
    </xf>
    <xf numFmtId="4" fontId="4" fillId="14" borderId="6" xfId="0" applyNumberFormat="1" applyFont="1" applyFill="1" applyBorder="1" applyAlignment="1">
      <alignment horizontal="center" vertical="center" wrapText="1"/>
    </xf>
    <xf numFmtId="0" fontId="14" fillId="10" borderId="6" xfId="0" applyFont="1" applyFill="1" applyBorder="1" applyAlignment="1">
      <alignment horizontal="center" vertical="center" wrapText="1"/>
    </xf>
    <xf numFmtId="4" fontId="14" fillId="2" borderId="6" xfId="0" applyNumberFormat="1" applyFont="1" applyFill="1" applyBorder="1" applyAlignment="1">
      <alignment horizontal="center" vertical="center"/>
    </xf>
    <xf numFmtId="4" fontId="4" fillId="14" borderId="6" xfId="3" applyNumberFormat="1" applyFont="1" applyFill="1" applyBorder="1" applyAlignment="1">
      <alignment horizontal="center" vertical="center"/>
    </xf>
    <xf numFmtId="174" fontId="14" fillId="0" borderId="6" xfId="0" applyNumberFormat="1" applyFont="1" applyBorder="1" applyAlignment="1">
      <alignment horizontal="center" vertical="center" wrapText="1"/>
    </xf>
    <xf numFmtId="0" fontId="6" fillId="8" borderId="6" xfId="0" applyFont="1" applyFill="1" applyBorder="1" applyAlignment="1">
      <alignment horizontal="center" vertical="center"/>
    </xf>
    <xf numFmtId="0" fontId="75" fillId="0" borderId="6" xfId="0" applyFont="1" applyBorder="1" applyAlignment="1">
      <alignment horizontal="center" vertical="center"/>
    </xf>
    <xf numFmtId="0" fontId="75" fillId="0" borderId="6" xfId="0" applyFont="1" applyBorder="1" applyAlignment="1">
      <alignment horizontal="center" vertical="center" wrapText="1"/>
    </xf>
    <xf numFmtId="0" fontId="3" fillId="2" borderId="6" xfId="0" applyFont="1" applyFill="1" applyBorder="1" applyAlignment="1">
      <alignment horizontal="center" vertical="center"/>
    </xf>
    <xf numFmtId="2" fontId="3" fillId="2" borderId="6" xfId="0" applyNumberFormat="1" applyFont="1" applyFill="1" applyBorder="1" applyAlignment="1">
      <alignment horizontal="center" vertical="center"/>
    </xf>
    <xf numFmtId="0" fontId="5" fillId="29" borderId="6" xfId="0" applyFont="1" applyFill="1" applyBorder="1" applyAlignment="1">
      <alignment horizontal="center" vertical="center"/>
    </xf>
    <xf numFmtId="0" fontId="5" fillId="3" borderId="6" xfId="0" applyFont="1" applyFill="1" applyBorder="1" applyAlignment="1">
      <alignment horizontal="center" vertical="center"/>
    </xf>
    <xf numFmtId="0" fontId="4" fillId="0" borderId="6" xfId="0" applyFont="1" applyBorder="1" applyAlignment="1">
      <alignment horizontal="center" wrapText="1"/>
    </xf>
    <xf numFmtId="0" fontId="3" fillId="0" borderId="20" xfId="0" applyFont="1" applyBorder="1" applyAlignment="1">
      <alignment horizontal="center" wrapText="1"/>
    </xf>
    <xf numFmtId="165" fontId="4" fillId="2" borderId="6" xfId="0" applyNumberFormat="1" applyFont="1" applyFill="1" applyBorder="1" applyAlignment="1">
      <alignment horizontal="center" vertical="center"/>
    </xf>
    <xf numFmtId="165" fontId="4" fillId="14" borderId="6" xfId="0" applyNumberFormat="1" applyFont="1" applyFill="1" applyBorder="1" applyAlignment="1">
      <alignment horizontal="center" vertical="center"/>
    </xf>
    <xf numFmtId="165" fontId="4" fillId="16" borderId="6" xfId="0" applyNumberFormat="1" applyFont="1" applyFill="1" applyBorder="1" applyAlignment="1">
      <alignment horizontal="center" vertical="center"/>
    </xf>
    <xf numFmtId="4" fontId="6" fillId="14" borderId="6" xfId="0" applyNumberFormat="1" applyFont="1" applyFill="1" applyBorder="1" applyAlignment="1">
      <alignment horizontal="center" vertical="center"/>
    </xf>
    <xf numFmtId="49" fontId="7" fillId="0" borderId="6" xfId="0" applyNumberFormat="1" applyFont="1" applyBorder="1" applyAlignment="1">
      <alignment horizontal="center" vertical="center" wrapText="1"/>
    </xf>
    <xf numFmtId="0" fontId="4" fillId="3" borderId="20" xfId="0" applyFont="1" applyFill="1" applyBorder="1" applyAlignment="1">
      <alignment horizontal="center" vertical="center" wrapText="1"/>
    </xf>
    <xf numFmtId="0" fontId="4" fillId="0" borderId="20" xfId="0" applyFont="1" applyBorder="1" applyAlignment="1">
      <alignment horizontal="center" vertical="center"/>
    </xf>
    <xf numFmtId="0" fontId="4" fillId="3" borderId="0" xfId="0" applyFont="1" applyFill="1" applyBorder="1" applyAlignment="1">
      <alignment horizontal="center" vertical="center" wrapText="1"/>
    </xf>
    <xf numFmtId="0" fontId="2" fillId="0" borderId="0" xfId="0" applyFont="1" applyAlignment="1">
      <alignment horizontal="center" vertical="center"/>
    </xf>
    <xf numFmtId="4" fontId="4" fillId="0" borderId="0" xfId="0" applyNumberFormat="1" applyFont="1" applyAlignment="1">
      <alignment horizontal="center" vertical="center"/>
    </xf>
    <xf numFmtId="0" fontId="5" fillId="0" borderId="0" xfId="0" applyFont="1" applyAlignment="1">
      <alignment horizontal="center" vertical="center"/>
    </xf>
    <xf numFmtId="0" fontId="76" fillId="0" borderId="0" xfId="0" applyFont="1" applyAlignment="1">
      <alignment vertical="center" wrapText="1"/>
    </xf>
    <xf numFmtId="171" fontId="3" fillId="0" borderId="0" xfId="0" applyNumberFormat="1" applyFont="1" applyAlignment="1">
      <alignment horizontal="center" vertical="center"/>
    </xf>
    <xf numFmtId="0" fontId="14" fillId="0" borderId="0" xfId="0" applyFont="1" applyAlignment="1">
      <alignment horizontal="center" vertical="center"/>
    </xf>
    <xf numFmtId="0" fontId="77" fillId="0" borderId="0" xfId="0" applyFont="1" applyAlignment="1">
      <alignment vertical="center" wrapText="1"/>
    </xf>
    <xf numFmtId="0" fontId="6" fillId="0" borderId="0" xfId="0" applyFont="1" applyAlignment="1">
      <alignment horizontal="left" vertical="center"/>
    </xf>
    <xf numFmtId="0" fontId="0" fillId="0" borderId="0" xfId="0" applyAlignment="1">
      <alignment horizontal="left" vertical="center"/>
    </xf>
    <xf numFmtId="0" fontId="5" fillId="4" borderId="29" xfId="0" applyFont="1" applyFill="1" applyBorder="1" applyAlignment="1">
      <alignment horizontal="center" vertical="center"/>
    </xf>
    <xf numFmtId="0" fontId="22" fillId="2" borderId="29" xfId="0" applyFont="1" applyFill="1" applyBorder="1" applyAlignment="1">
      <alignment horizontal="center" vertical="center"/>
    </xf>
    <xf numFmtId="0" fontId="4" fillId="0" borderId="0" xfId="0" applyFont="1" applyAlignment="1">
      <alignment horizontal="center" vertical="center"/>
    </xf>
    <xf numFmtId="0" fontId="2" fillId="4" borderId="36" xfId="0" applyFont="1" applyFill="1" applyBorder="1" applyAlignment="1">
      <alignment horizontal="center" vertical="center" wrapText="1"/>
    </xf>
    <xf numFmtId="0" fontId="22" fillId="2" borderId="41" xfId="0" applyFont="1" applyFill="1" applyBorder="1" applyAlignment="1">
      <alignment horizontal="center" vertical="center" wrapText="1"/>
    </xf>
    <xf numFmtId="0" fontId="2" fillId="30" borderId="68" xfId="0" applyFont="1" applyFill="1" applyBorder="1" applyAlignment="1">
      <alignment horizontal="center" vertical="center" wrapText="1"/>
    </xf>
    <xf numFmtId="0" fontId="61" fillId="3" borderId="6" xfId="0" applyFont="1" applyFill="1" applyBorder="1" applyAlignment="1">
      <alignment horizontal="center" vertical="center"/>
    </xf>
    <xf numFmtId="0" fontId="22" fillId="3" borderId="32" xfId="0" applyFont="1" applyFill="1" applyBorder="1" applyAlignment="1">
      <alignment horizontal="center" vertical="center" wrapText="1"/>
    </xf>
    <xf numFmtId="0" fontId="2" fillId="3" borderId="3" xfId="0" applyFont="1" applyFill="1" applyBorder="1" applyAlignment="1">
      <alignment horizontal="center" vertical="center" wrapText="1"/>
    </xf>
    <xf numFmtId="4" fontId="3" fillId="0" borderId="31" xfId="0" applyNumberFormat="1" applyFont="1" applyBorder="1" applyAlignment="1">
      <alignment horizontal="center" vertical="center"/>
    </xf>
    <xf numFmtId="4" fontId="3" fillId="0" borderId="86" xfId="0" applyNumberFormat="1" applyFont="1" applyBorder="1" applyAlignment="1">
      <alignment horizontal="center" vertical="center"/>
    </xf>
    <xf numFmtId="0" fontId="2" fillId="0" borderId="5" xfId="0" applyFont="1" applyBorder="1" applyAlignment="1">
      <alignment horizontal="center" vertical="center"/>
    </xf>
    <xf numFmtId="0" fontId="3" fillId="0" borderId="32" xfId="0" applyFont="1" applyBorder="1" applyAlignment="1">
      <alignment horizontal="left" vertical="center"/>
    </xf>
    <xf numFmtId="4" fontId="3" fillId="0" borderId="23" xfId="0" applyNumberFormat="1" applyFont="1" applyBorder="1" applyAlignment="1">
      <alignment horizontal="center" vertical="center"/>
    </xf>
    <xf numFmtId="4" fontId="3" fillId="0" borderId="60" xfId="0" applyNumberFormat="1" applyFont="1" applyBorder="1" applyAlignment="1">
      <alignment horizontal="center" vertical="center"/>
    </xf>
    <xf numFmtId="4" fontId="3" fillId="13" borderId="23" xfId="0" applyNumberFormat="1" applyFont="1" applyFill="1" applyBorder="1" applyAlignment="1">
      <alignment horizontal="center" vertical="center"/>
    </xf>
    <xf numFmtId="4" fontId="4" fillId="13" borderId="60" xfId="0" applyNumberFormat="1" applyFont="1" applyFill="1" applyBorder="1" applyAlignment="1">
      <alignment horizontal="center" vertical="center"/>
    </xf>
    <xf numFmtId="4" fontId="4" fillId="0" borderId="23" xfId="0" applyNumberFormat="1" applyFont="1" applyBorder="1" applyAlignment="1">
      <alignment horizontal="center" vertical="center"/>
    </xf>
    <xf numFmtId="4" fontId="4" fillId="0" borderId="60" xfId="0" applyNumberFormat="1" applyFont="1" applyBorder="1" applyAlignment="1">
      <alignment horizontal="center" vertical="center"/>
    </xf>
    <xf numFmtId="0" fontId="3" fillId="0" borderId="75" xfId="0" applyFont="1" applyBorder="1" applyAlignment="1">
      <alignment horizontal="left" vertical="center"/>
    </xf>
    <xf numFmtId="0" fontId="3" fillId="0" borderId="64" xfId="0" applyFont="1" applyBorder="1" applyAlignment="1">
      <alignment horizontal="left" vertical="center"/>
    </xf>
    <xf numFmtId="0" fontId="2" fillId="0" borderId="7" xfId="0" applyFont="1" applyBorder="1" applyAlignment="1">
      <alignment horizontal="center" vertical="center"/>
    </xf>
    <xf numFmtId="4" fontId="3" fillId="0" borderId="87" xfId="0" applyNumberFormat="1" applyFont="1" applyBorder="1" applyAlignment="1">
      <alignment horizontal="center" vertical="center"/>
    </xf>
    <xf numFmtId="4" fontId="3" fillId="0" borderId="88" xfId="0" applyNumberFormat="1" applyFont="1" applyBorder="1" applyAlignment="1">
      <alignment horizontal="center" vertical="center"/>
    </xf>
    <xf numFmtId="0" fontId="9" fillId="30" borderId="89" xfId="0" applyFont="1" applyFill="1" applyBorder="1" applyAlignment="1">
      <alignment horizontal="center" vertical="center"/>
    </xf>
    <xf numFmtId="0" fontId="4" fillId="14" borderId="6" xfId="0" applyFont="1" applyFill="1" applyBorder="1" applyAlignment="1">
      <alignment horizontal="center" vertical="center" wrapText="1"/>
    </xf>
    <xf numFmtId="0" fontId="4" fillId="16" borderId="6" xfId="0" applyFont="1" applyFill="1" applyBorder="1" applyAlignment="1">
      <alignment horizontal="center" vertical="center" wrapText="1"/>
    </xf>
    <xf numFmtId="2" fontId="4" fillId="14" borderId="6" xfId="0" applyNumberFormat="1" applyFont="1" applyFill="1" applyBorder="1" applyAlignment="1">
      <alignment horizontal="center" vertical="center" wrapText="1"/>
    </xf>
    <xf numFmtId="176" fontId="4" fillId="16" borderId="6" xfId="0" applyNumberFormat="1" applyFont="1" applyFill="1" applyBorder="1" applyAlignment="1">
      <alignment horizontal="center" vertical="center" wrapText="1"/>
    </xf>
    <xf numFmtId="0" fontId="3" fillId="10" borderId="6" xfId="0" applyFont="1" applyFill="1" applyBorder="1" applyAlignment="1">
      <alignment horizontal="center" vertical="center"/>
    </xf>
    <xf numFmtId="0" fontId="3" fillId="14" borderId="6" xfId="0" applyFont="1" applyFill="1" applyBorder="1" applyAlignment="1">
      <alignment horizontal="center" vertical="center"/>
    </xf>
    <xf numFmtId="0" fontId="6" fillId="14" borderId="6" xfId="0" applyFont="1" applyFill="1" applyBorder="1" applyAlignment="1">
      <alignment horizontal="center" vertical="center"/>
    </xf>
    <xf numFmtId="4" fontId="3" fillId="2" borderId="20" xfId="0" applyNumberFormat="1" applyFont="1" applyFill="1" applyBorder="1" applyAlignment="1">
      <alignment horizontal="center" vertical="center"/>
    </xf>
    <xf numFmtId="0" fontId="6" fillId="14" borderId="20" xfId="0" applyFont="1" applyFill="1" applyBorder="1" applyAlignment="1">
      <alignment horizontal="center" vertical="center"/>
    </xf>
    <xf numFmtId="0" fontId="4" fillId="16" borderId="20" xfId="0" applyFont="1" applyFill="1" applyBorder="1" applyAlignment="1">
      <alignment horizontal="center" vertical="center" wrapText="1"/>
    </xf>
    <xf numFmtId="0" fontId="4" fillId="14" borderId="20" xfId="0" applyFont="1" applyFill="1" applyBorder="1" applyAlignment="1">
      <alignment horizontal="center" vertical="center"/>
    </xf>
    <xf numFmtId="2" fontId="4" fillId="14" borderId="20" xfId="0" applyNumberFormat="1" applyFont="1" applyFill="1" applyBorder="1" applyAlignment="1">
      <alignment horizontal="center" vertical="center"/>
    </xf>
    <xf numFmtId="2" fontId="4" fillId="16" borderId="20" xfId="0" applyNumberFormat="1" applyFont="1" applyFill="1" applyBorder="1" applyAlignment="1">
      <alignment horizontal="center" vertical="center" wrapText="1"/>
    </xf>
    <xf numFmtId="2" fontId="4" fillId="14" borderId="6" xfId="0" applyNumberFormat="1" applyFont="1" applyFill="1" applyBorder="1" applyAlignment="1">
      <alignment horizontal="center" vertical="center"/>
    </xf>
    <xf numFmtId="2" fontId="4" fillId="16" borderId="6"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4" fontId="4" fillId="2" borderId="80" xfId="0" applyNumberFormat="1" applyFont="1" applyFill="1" applyBorder="1" applyAlignment="1">
      <alignment horizontal="center" vertical="center"/>
    </xf>
    <xf numFmtId="2" fontId="4" fillId="14" borderId="80" xfId="0" applyNumberFormat="1" applyFont="1" applyFill="1" applyBorder="1" applyAlignment="1">
      <alignment horizontal="center" vertical="center"/>
    </xf>
    <xf numFmtId="2" fontId="4" fillId="16" borderId="80" xfId="0" applyNumberFormat="1" applyFont="1" applyFill="1" applyBorder="1" applyAlignment="1">
      <alignment horizontal="center" vertical="center" wrapText="1"/>
    </xf>
    <xf numFmtId="4" fontId="2" fillId="31" borderId="27" xfId="0" applyNumberFormat="1" applyFont="1" applyFill="1" applyBorder="1" applyAlignment="1">
      <alignment horizontal="center" vertical="center"/>
    </xf>
    <xf numFmtId="0" fontId="14" fillId="0" borderId="0" xfId="0" applyFont="1" applyAlignment="1">
      <alignment horizontal="center" vertical="center" wrapText="1"/>
    </xf>
    <xf numFmtId="2" fontId="4"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167" fontId="4" fillId="0" borderId="0" xfId="0" applyNumberFormat="1" applyFont="1" applyAlignment="1">
      <alignment horizontal="center" vertical="center"/>
    </xf>
    <xf numFmtId="171" fontId="14" fillId="0" borderId="0" xfId="0" applyNumberFormat="1" applyFont="1" applyAlignment="1">
      <alignment horizontal="center" vertical="center" wrapText="1"/>
    </xf>
    <xf numFmtId="165" fontId="3" fillId="0" borderId="0" xfId="0" applyNumberFormat="1" applyFont="1" applyAlignment="1">
      <alignment horizontal="center" vertical="center"/>
    </xf>
    <xf numFmtId="0" fontId="80" fillId="32" borderId="9" xfId="0" applyFont="1" applyFill="1" applyBorder="1" applyAlignment="1">
      <alignment horizontal="center" vertical="center" wrapText="1"/>
    </xf>
    <xf numFmtId="4" fontId="82" fillId="32" borderId="9" xfId="0" applyNumberFormat="1" applyFont="1" applyFill="1" applyBorder="1" applyAlignment="1">
      <alignment horizontal="center" vertical="center"/>
    </xf>
    <xf numFmtId="2" fontId="2" fillId="0" borderId="0" xfId="0" applyNumberFormat="1" applyFont="1" applyAlignment="1">
      <alignment horizontal="center" vertical="center" wrapText="1"/>
    </xf>
    <xf numFmtId="4" fontId="80" fillId="32" borderId="15" xfId="0" applyNumberFormat="1" applyFont="1" applyFill="1" applyBorder="1" applyAlignment="1">
      <alignment horizontal="center" vertical="center"/>
    </xf>
    <xf numFmtId="0" fontId="5" fillId="0" borderId="0" xfId="0" applyFont="1" applyAlignment="1">
      <alignment horizontal="center" vertical="center" wrapText="1"/>
    </xf>
    <xf numFmtId="4" fontId="80" fillId="32" borderId="21" xfId="0" applyNumberFormat="1" applyFont="1" applyFill="1" applyBorder="1" applyAlignment="1">
      <alignment horizontal="center" vertical="center"/>
    </xf>
    <xf numFmtId="2" fontId="83" fillId="32" borderId="29" xfId="0" applyNumberFormat="1" applyFont="1" applyFill="1" applyBorder="1" applyAlignment="1">
      <alignment horizontal="center" vertical="center" wrapText="1"/>
    </xf>
    <xf numFmtId="4" fontId="3" fillId="0" borderId="0" xfId="0" applyNumberFormat="1" applyFont="1" applyAlignment="1">
      <alignment horizontal="center" vertical="center" wrapText="1"/>
    </xf>
    <xf numFmtId="4" fontId="2" fillId="2" borderId="12" xfId="0" applyNumberFormat="1" applyFont="1" applyFill="1" applyBorder="1" applyAlignment="1">
      <alignment horizontal="center" vertical="center"/>
    </xf>
    <xf numFmtId="0" fontId="77" fillId="0" borderId="0" xfId="0" applyFont="1" applyAlignment="1">
      <alignment horizontal="center" vertical="center" wrapText="1"/>
    </xf>
    <xf numFmtId="165" fontId="14" fillId="0" borderId="0" xfId="0" applyNumberFormat="1" applyFont="1" applyAlignment="1">
      <alignment horizontal="center" vertical="center"/>
    </xf>
    <xf numFmtId="0" fontId="2" fillId="4" borderId="17" xfId="0" applyFont="1" applyFill="1" applyBorder="1" applyAlignment="1">
      <alignment horizontal="center" vertical="center" wrapText="1"/>
    </xf>
    <xf numFmtId="4" fontId="2" fillId="3" borderId="4" xfId="0" applyNumberFormat="1" applyFont="1" applyFill="1" applyBorder="1" applyAlignment="1">
      <alignment horizontal="center" vertical="center" wrapText="1"/>
    </xf>
    <xf numFmtId="4" fontId="2" fillId="0" borderId="6" xfId="0" applyNumberFormat="1" applyFont="1" applyBorder="1" applyAlignment="1">
      <alignment horizontal="center" vertical="center"/>
    </xf>
    <xf numFmtId="4" fontId="2" fillId="0" borderId="8" xfId="0" applyNumberFormat="1" applyFont="1" applyBorder="1" applyAlignment="1">
      <alignment horizontal="center" vertical="center"/>
    </xf>
    <xf numFmtId="4" fontId="21" fillId="30" borderId="90" xfId="0" applyNumberFormat="1" applyFont="1" applyFill="1" applyBorder="1" applyAlignment="1">
      <alignment horizontal="center" vertical="center"/>
    </xf>
    <xf numFmtId="0" fontId="77" fillId="0" borderId="0" xfId="0" applyFont="1" applyAlignment="1">
      <alignment horizontal="center" vertical="center"/>
    </xf>
    <xf numFmtId="0" fontId="4" fillId="0" borderId="0" xfId="0" applyFont="1" applyAlignment="1">
      <alignment vertical="center"/>
    </xf>
    <xf numFmtId="0" fontId="4" fillId="8" borderId="20" xfId="0" applyFont="1" applyFill="1" applyBorder="1" applyAlignment="1">
      <alignment horizontal="center" vertical="center" wrapText="1"/>
    </xf>
    <xf numFmtId="0" fontId="3" fillId="0" borderId="64" xfId="0" applyFont="1" applyBorder="1" applyAlignment="1">
      <alignment horizontal="center" vertical="center"/>
    </xf>
    <xf numFmtId="4" fontId="4" fillId="0" borderId="88" xfId="0" applyNumberFormat="1" applyFont="1" applyBorder="1" applyAlignment="1">
      <alignment horizontal="center" vertical="center"/>
    </xf>
    <xf numFmtId="165" fontId="3" fillId="0" borderId="88" xfId="0" applyNumberFormat="1" applyFont="1" applyBorder="1" applyAlignment="1">
      <alignment horizontal="center" vertical="center"/>
    </xf>
    <xf numFmtId="4" fontId="3" fillId="0" borderId="91" xfId="0" applyNumberFormat="1" applyFont="1" applyBorder="1" applyAlignment="1">
      <alignment horizontal="center" vertical="center"/>
    </xf>
    <xf numFmtId="4" fontId="3" fillId="0" borderId="92" xfId="0" applyNumberFormat="1" applyFont="1" applyBorder="1" applyAlignment="1">
      <alignment horizontal="center" vertical="center"/>
    </xf>
    <xf numFmtId="4" fontId="2" fillId="30" borderId="29" xfId="0" applyNumberFormat="1" applyFont="1" applyFill="1" applyBorder="1" applyAlignment="1">
      <alignment horizontal="center" vertical="center"/>
    </xf>
    <xf numFmtId="4" fontId="2" fillId="30" borderId="38" xfId="0" applyNumberFormat="1" applyFont="1" applyFill="1" applyBorder="1" applyAlignment="1">
      <alignment horizontal="center" vertical="center"/>
    </xf>
    <xf numFmtId="4" fontId="77" fillId="0" borderId="0" xfId="0" applyNumberFormat="1" applyFont="1" applyAlignment="1">
      <alignment horizontal="center" vertical="center"/>
    </xf>
    <xf numFmtId="0" fontId="77" fillId="0" borderId="0" xfId="0" quotePrefix="1" applyFont="1" applyAlignment="1">
      <alignment vertical="center" wrapText="1"/>
    </xf>
    <xf numFmtId="0" fontId="2" fillId="3" borderId="20" xfId="0" applyFont="1" applyFill="1" applyBorder="1" applyAlignment="1">
      <alignment horizontal="center" vertical="center" wrapText="1"/>
    </xf>
    <xf numFmtId="0" fontId="22" fillId="2" borderId="67" xfId="0" applyFont="1" applyFill="1" applyBorder="1" applyAlignment="1">
      <alignment horizontal="center" vertical="center" wrapText="1"/>
    </xf>
    <xf numFmtId="4" fontId="22" fillId="3" borderId="69" xfId="0" applyNumberFormat="1" applyFont="1" applyFill="1" applyBorder="1" applyAlignment="1">
      <alignment horizontal="center" vertical="center" wrapText="1"/>
    </xf>
    <xf numFmtId="4" fontId="22" fillId="0" borderId="32" xfId="0" applyNumberFormat="1" applyFont="1" applyBorder="1" applyAlignment="1">
      <alignment horizontal="center" vertical="center"/>
    </xf>
    <xf numFmtId="4" fontId="22" fillId="0" borderId="33" xfId="0" applyNumberFormat="1" applyFont="1" applyBorder="1" applyAlignment="1">
      <alignment horizontal="center" vertical="center"/>
    </xf>
    <xf numFmtId="4" fontId="21" fillId="30" borderId="34" xfId="0" applyNumberFormat="1" applyFont="1" applyFill="1" applyBorder="1" applyAlignment="1">
      <alignment horizontal="center" vertical="center"/>
    </xf>
    <xf numFmtId="0" fontId="3" fillId="0" borderId="23" xfId="0" applyFont="1" applyBorder="1" applyAlignment="1">
      <alignment horizontal="center" vertical="center" wrapText="1"/>
    </xf>
    <xf numFmtId="0" fontId="3" fillId="0" borderId="31" xfId="0" applyFont="1" applyBorder="1" applyAlignment="1">
      <alignment horizontal="center" vertical="center" wrapText="1"/>
    </xf>
    <xf numFmtId="0" fontId="3" fillId="31" borderId="29" xfId="0" applyFont="1" applyFill="1" applyBorder="1" applyAlignment="1">
      <alignment horizontal="center" vertical="center" wrapText="1"/>
    </xf>
    <xf numFmtId="0" fontId="3" fillId="0" borderId="91" xfId="0" applyFont="1" applyBorder="1" applyAlignment="1">
      <alignment horizontal="center" vertical="center" wrapText="1"/>
    </xf>
    <xf numFmtId="0" fontId="9" fillId="30" borderId="29" xfId="0" applyFont="1" applyFill="1" applyBorder="1" applyAlignment="1">
      <alignment horizontal="center" vertical="center"/>
    </xf>
    <xf numFmtId="0" fontId="26" fillId="0" borderId="81" xfId="0" applyFont="1" applyBorder="1" applyAlignment="1">
      <alignment horizontal="left" vertical="center" wrapText="1"/>
    </xf>
    <xf numFmtId="0" fontId="26" fillId="0" borderId="82" xfId="0" applyFont="1" applyBorder="1" applyAlignment="1">
      <alignment horizontal="left" vertical="center" wrapText="1"/>
    </xf>
    <xf numFmtId="0" fontId="26" fillId="0" borderId="41" xfId="0" applyFont="1" applyBorder="1" applyAlignment="1">
      <alignment horizontal="left" vertical="center" wrapText="1"/>
    </xf>
    <xf numFmtId="0" fontId="78" fillId="32" borderId="81" xfId="0" applyFont="1" applyFill="1" applyBorder="1" applyAlignment="1">
      <alignment horizontal="center" vertical="center" wrapText="1"/>
    </xf>
    <xf numFmtId="0" fontId="61" fillId="32" borderId="82" xfId="0" applyFont="1" applyFill="1" applyBorder="1" applyAlignment="1">
      <alignment horizontal="center" vertical="center" wrapText="1"/>
    </xf>
    <xf numFmtId="0" fontId="61" fillId="32" borderId="41" xfId="0" applyFont="1" applyFill="1" applyBorder="1" applyAlignment="1">
      <alignment horizontal="center"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79" fillId="32" borderId="83" xfId="0" applyFont="1" applyFill="1" applyBorder="1" applyAlignment="1">
      <alignment horizontal="center" vertical="center" wrapText="1"/>
    </xf>
    <xf numFmtId="0" fontId="79" fillId="32" borderId="84" xfId="0" applyFont="1" applyFill="1" applyBorder="1" applyAlignment="1">
      <alignment horizontal="center" vertical="center" wrapText="1"/>
    </xf>
    <xf numFmtId="0" fontId="79" fillId="32" borderId="40" xfId="0" applyFont="1" applyFill="1" applyBorder="1" applyAlignment="1">
      <alignment horizontal="center" vertical="center" wrapText="1"/>
    </xf>
    <xf numFmtId="0" fontId="13" fillId="0" borderId="83" xfId="0" applyFont="1" applyBorder="1" applyAlignment="1">
      <alignment horizontal="left" vertical="top" wrapText="1"/>
    </xf>
    <xf numFmtId="0" fontId="13" fillId="0" borderId="84" xfId="0" applyFont="1" applyBorder="1" applyAlignment="1">
      <alignment horizontal="left" vertical="top" wrapText="1"/>
    </xf>
    <xf numFmtId="0" fontId="13" fillId="0" borderId="40" xfId="0" applyFont="1" applyBorder="1" applyAlignment="1">
      <alignment horizontal="left" vertical="top" wrapText="1"/>
    </xf>
    <xf numFmtId="0" fontId="80" fillId="32" borderId="37" xfId="0" applyFont="1" applyFill="1" applyBorder="1" applyAlignment="1">
      <alignment horizontal="center" vertical="center" wrapText="1"/>
    </xf>
    <xf numFmtId="0" fontId="80" fillId="32" borderId="61" xfId="0" applyFont="1" applyFill="1" applyBorder="1" applyAlignment="1">
      <alignment horizontal="center" vertical="center" wrapText="1"/>
    </xf>
    <xf numFmtId="0" fontId="6" fillId="0" borderId="37" xfId="0" applyFont="1" applyBorder="1" applyAlignment="1">
      <alignment horizontal="left" vertical="center" wrapText="1"/>
    </xf>
    <xf numFmtId="0" fontId="6" fillId="0" borderId="59" xfId="0" applyFont="1" applyBorder="1" applyAlignment="1">
      <alignment horizontal="left" vertical="center" wrapText="1"/>
    </xf>
    <xf numFmtId="0" fontId="6" fillId="0" borderId="38" xfId="0" applyFont="1" applyBorder="1" applyAlignment="1">
      <alignment horizontal="left" vertical="center" wrapText="1"/>
    </xf>
    <xf numFmtId="0" fontId="81" fillId="32" borderId="37" xfId="0" applyFont="1" applyFill="1" applyBorder="1" applyAlignment="1">
      <alignment horizontal="center" vertical="center"/>
    </xf>
    <xf numFmtId="0" fontId="81" fillId="32" borderId="61" xfId="0" applyFont="1" applyFill="1" applyBorder="1" applyAlignment="1">
      <alignment horizontal="center" vertical="center"/>
    </xf>
    <xf numFmtId="0" fontId="6" fillId="0" borderId="0" xfId="0" applyFont="1" applyAlignment="1">
      <alignment horizontal="left" vertical="center" wrapText="1"/>
    </xf>
    <xf numFmtId="0" fontId="80" fillId="32" borderId="77" xfId="0" applyFont="1" applyFill="1" applyBorder="1" applyAlignment="1">
      <alignment horizontal="center" vertical="center"/>
    </xf>
    <xf numFmtId="0" fontId="80" fillId="32" borderId="72" xfId="0" applyFont="1" applyFill="1" applyBorder="1" applyAlignment="1">
      <alignment horizontal="center" vertical="center"/>
    </xf>
    <xf numFmtId="0" fontId="80" fillId="32" borderId="85" xfId="0" applyFont="1" applyFill="1" applyBorder="1" applyAlignment="1">
      <alignment horizontal="center" vertical="center" wrapText="1"/>
    </xf>
    <xf numFmtId="0" fontId="80" fillId="32" borderId="65" xfId="0" applyFont="1" applyFill="1" applyBorder="1" applyAlignment="1">
      <alignment horizontal="center"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0"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2" xfId="0" applyFont="1" applyBorder="1" applyAlignment="1">
      <alignment horizontal="left" vertical="center"/>
    </xf>
    <xf numFmtId="0" fontId="82" fillId="32" borderId="37" xfId="0" applyFont="1" applyFill="1" applyBorder="1" applyAlignment="1">
      <alignment horizontal="center" vertical="center" wrapText="1"/>
    </xf>
    <xf numFmtId="0" fontId="82" fillId="32" borderId="59" xfId="0" applyFont="1" applyFill="1" applyBorder="1" applyAlignment="1">
      <alignment horizontal="center" vertical="center" wrapText="1"/>
    </xf>
    <xf numFmtId="0" fontId="13" fillId="0" borderId="0" xfId="0" applyFont="1" applyAlignment="1">
      <alignment horizontal="center" vertical="top" wrapText="1"/>
    </xf>
    <xf numFmtId="0" fontId="2" fillId="2" borderId="74"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73" xfId="0" applyFont="1" applyFill="1" applyBorder="1" applyAlignment="1">
      <alignment horizontal="center" vertical="center" wrapText="1"/>
    </xf>
    <xf numFmtId="0" fontId="7" fillId="0" borderId="75"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88" xfId="0" applyFont="1" applyBorder="1" applyAlignment="1">
      <alignment horizontal="center" vertical="center" wrapText="1"/>
    </xf>
    <xf numFmtId="0" fontId="2" fillId="2" borderId="85" xfId="0" applyFont="1" applyFill="1" applyBorder="1" applyAlignment="1">
      <alignment horizontal="center" vertical="center"/>
    </xf>
    <xf numFmtId="0" fontId="2" fillId="2" borderId="65" xfId="0" applyFont="1" applyFill="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78" xfId="0" applyFont="1" applyBorder="1" applyAlignment="1">
      <alignment horizontal="left" vertical="center"/>
    </xf>
    <xf numFmtId="0" fontId="61" fillId="30" borderId="1" xfId="0" applyFont="1" applyFill="1" applyBorder="1" applyAlignment="1">
      <alignment horizontal="center" vertical="center"/>
    </xf>
    <xf numFmtId="0" fontId="61" fillId="30" borderId="2" xfId="0" applyFont="1" applyFill="1" applyBorder="1" applyAlignment="1">
      <alignment horizontal="center" vertical="center"/>
    </xf>
    <xf numFmtId="0" fontId="61" fillId="30" borderId="28" xfId="0" applyFont="1" applyFill="1" applyBorder="1" applyAlignment="1">
      <alignment horizontal="center" vertical="center"/>
    </xf>
    <xf numFmtId="3" fontId="4" fillId="3" borderId="0" xfId="0" applyNumberFormat="1" applyFont="1" applyFill="1" applyAlignment="1">
      <alignment horizontal="center" vertical="center"/>
    </xf>
    <xf numFmtId="4" fontId="4" fillId="3" borderId="0" xfId="0" applyNumberFormat="1" applyFont="1" applyFill="1" applyAlignment="1">
      <alignment horizontal="center" vertical="center"/>
    </xf>
    <xf numFmtId="0" fontId="14" fillId="0" borderId="75" xfId="0" applyFont="1" applyBorder="1" applyAlignment="1">
      <alignment horizontal="left" vertical="center" wrapText="1"/>
    </xf>
    <xf numFmtId="0" fontId="14" fillId="0" borderId="60" xfId="0" applyFont="1" applyBorder="1" applyAlignment="1">
      <alignment horizontal="left" vertical="center" wrapText="1"/>
    </xf>
    <xf numFmtId="0" fontId="3" fillId="0" borderId="75" xfId="0" applyFont="1" applyBorder="1" applyAlignment="1">
      <alignment horizontal="left" vertical="center"/>
    </xf>
    <xf numFmtId="0" fontId="3" fillId="0" borderId="60" xfId="0" applyFont="1" applyBorder="1" applyAlignment="1">
      <alignment horizontal="left" vertical="center"/>
    </xf>
    <xf numFmtId="0" fontId="61" fillId="30" borderId="16" xfId="0" applyFont="1" applyFill="1" applyBorder="1" applyAlignment="1">
      <alignment horizontal="center" vertical="center"/>
    </xf>
    <xf numFmtId="0" fontId="61" fillId="30" borderId="17" xfId="0" applyFont="1" applyFill="1" applyBorder="1" applyAlignment="1">
      <alignment horizontal="center" vertical="center"/>
    </xf>
    <xf numFmtId="0" fontId="61" fillId="30" borderId="67" xfId="0" applyFont="1" applyFill="1" applyBorder="1" applyAlignment="1">
      <alignment horizontal="center" vertical="center"/>
    </xf>
    <xf numFmtId="0" fontId="37" fillId="0" borderId="0" xfId="0" applyFont="1" applyAlignment="1">
      <alignment horizontal="center"/>
    </xf>
    <xf numFmtId="0" fontId="71" fillId="0" borderId="6" xfId="0" applyFont="1" applyBorder="1" applyAlignment="1">
      <alignment horizontal="center"/>
    </xf>
    <xf numFmtId="0" fontId="0" fillId="0" borderId="32" xfId="0" applyBorder="1" applyAlignment="1">
      <alignment horizontal="left"/>
    </xf>
    <xf numFmtId="0" fontId="0" fillId="0" borderId="60" xfId="0" applyBorder="1" applyAlignment="1">
      <alignment horizontal="left"/>
    </xf>
    <xf numFmtId="0" fontId="0" fillId="0" borderId="64" xfId="0" applyBorder="1" applyAlignment="1">
      <alignment horizontal="left"/>
    </xf>
    <xf numFmtId="0" fontId="0" fillId="0" borderId="32" xfId="0" applyBorder="1" applyAlignment="1">
      <alignment horizontal="left" wrapText="1"/>
    </xf>
    <xf numFmtId="0" fontId="0" fillId="0" borderId="60" xfId="0" applyBorder="1" applyAlignment="1">
      <alignment horizontal="left" wrapText="1"/>
    </xf>
    <xf numFmtId="0" fontId="0" fillId="0" borderId="64" xfId="0" applyBorder="1" applyAlignment="1">
      <alignment horizontal="left" wrapText="1"/>
    </xf>
    <xf numFmtId="0" fontId="0" fillId="13" borderId="28" xfId="0" applyFill="1" applyBorder="1" applyAlignment="1">
      <alignment horizontal="center" vertical="center" wrapText="1"/>
    </xf>
    <xf numFmtId="0" fontId="0" fillId="13" borderId="59" xfId="0" applyFill="1"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37" xfId="0" applyBorder="1" applyAlignment="1">
      <alignment horizontal="center"/>
    </xf>
    <xf numFmtId="0" fontId="0" fillId="0" borderId="59" xfId="0" applyBorder="1" applyAlignment="1">
      <alignment horizontal="center"/>
    </xf>
    <xf numFmtId="0" fontId="0" fillId="0" borderId="38" xfId="0" applyBorder="1" applyAlignment="1">
      <alignment horizontal="center"/>
    </xf>
    <xf numFmtId="0" fontId="0" fillId="13" borderId="37" xfId="0" applyFill="1" applyBorder="1" applyAlignment="1">
      <alignment horizontal="center" vertical="center" wrapText="1"/>
    </xf>
    <xf numFmtId="0" fontId="0" fillId="13" borderId="61"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61" xfId="0" applyFill="1" applyBorder="1" applyAlignment="1">
      <alignment horizontal="center" vertical="center" wrapText="1"/>
    </xf>
    <xf numFmtId="0" fontId="0" fillId="0" borderId="28" xfId="0" applyBorder="1" applyAlignment="1">
      <alignment horizontal="center" vertical="center" wrapText="1"/>
    </xf>
    <xf numFmtId="0" fontId="0" fillId="0" borderId="61" xfId="0" applyBorder="1" applyAlignment="1">
      <alignment horizontal="center" vertical="center" wrapText="1"/>
    </xf>
    <xf numFmtId="0" fontId="0" fillId="28" borderId="37" xfId="0" applyFill="1" applyBorder="1" applyAlignment="1">
      <alignment horizontal="center"/>
    </xf>
    <xf numFmtId="0" fontId="0" fillId="28" borderId="59" xfId="0" applyFill="1" applyBorder="1" applyAlignment="1">
      <alignment horizontal="center"/>
    </xf>
    <xf numFmtId="0" fontId="0" fillId="28" borderId="38" xfId="0" applyFill="1" applyBorder="1" applyAlignment="1">
      <alignment horizontal="center"/>
    </xf>
    <xf numFmtId="0" fontId="68" fillId="0" borderId="0" xfId="0" applyFont="1" applyAlignment="1">
      <alignment horizontal="center"/>
    </xf>
    <xf numFmtId="0" fontId="23" fillId="7" borderId="69" xfId="0" applyFont="1" applyFill="1" applyBorder="1" applyAlignment="1">
      <alignment horizontal="center"/>
    </xf>
    <xf numFmtId="0" fontId="23" fillId="7" borderId="70" xfId="0" applyFont="1" applyFill="1" applyBorder="1" applyAlignment="1">
      <alignment horizontal="center"/>
    </xf>
    <xf numFmtId="0" fontId="23" fillId="7" borderId="71" xfId="0" applyFont="1" applyFill="1" applyBorder="1" applyAlignment="1">
      <alignment horizontal="center"/>
    </xf>
    <xf numFmtId="0" fontId="23" fillId="7" borderId="73" xfId="0" applyFont="1" applyFill="1" applyBorder="1" applyAlignment="1">
      <alignment horizontal="center"/>
    </xf>
    <xf numFmtId="0" fontId="23" fillId="7" borderId="32" xfId="0" applyFont="1" applyFill="1" applyBorder="1" applyAlignment="1">
      <alignment horizontal="center"/>
    </xf>
    <xf numFmtId="0" fontId="23" fillId="7" borderId="60" xfId="0" applyFont="1" applyFill="1" applyBorder="1" applyAlignment="1">
      <alignment horizontal="center"/>
    </xf>
    <xf numFmtId="0" fontId="23" fillId="7" borderId="64" xfId="0" applyFont="1" applyFill="1" applyBorder="1" applyAlignment="1">
      <alignment horizontal="center"/>
    </xf>
    <xf numFmtId="0" fontId="23" fillId="7" borderId="6" xfId="0" applyFont="1" applyFill="1" applyBorder="1" applyAlignment="1">
      <alignment horizontal="center"/>
    </xf>
    <xf numFmtId="0" fontId="23" fillId="7" borderId="11" xfId="0" applyFont="1" applyFill="1" applyBorder="1" applyAlignment="1">
      <alignment horizontal="center"/>
    </xf>
    <xf numFmtId="0" fontId="23" fillId="7" borderId="16" xfId="0" applyFont="1" applyFill="1" applyBorder="1" applyAlignment="1">
      <alignment horizontal="center" vertical="center" wrapText="1"/>
    </xf>
    <xf numFmtId="0" fontId="23" fillId="7" borderId="63" xfId="0" applyFont="1" applyFill="1" applyBorder="1" applyAlignment="1">
      <alignment horizontal="center" vertical="center" wrapText="1"/>
    </xf>
    <xf numFmtId="0" fontId="23" fillId="7" borderId="27" xfId="0" applyFont="1" applyFill="1" applyBorder="1" applyAlignment="1">
      <alignment horizontal="center" vertical="center" wrapText="1"/>
    </xf>
    <xf numFmtId="0" fontId="23" fillId="7" borderId="67" xfId="0" applyFont="1" applyFill="1" applyBorder="1" applyAlignment="1">
      <alignment horizontal="center" vertical="center" wrapText="1"/>
    </xf>
    <xf numFmtId="0" fontId="23" fillId="7" borderId="68" xfId="0" applyFont="1" applyFill="1" applyBorder="1" applyAlignment="1">
      <alignment horizontal="center" vertical="center" wrapText="1"/>
    </xf>
    <xf numFmtId="0" fontId="23" fillId="7" borderId="30" xfId="0" applyFont="1" applyFill="1" applyBorder="1" applyAlignment="1">
      <alignment horizontal="center" vertical="center" wrapText="1"/>
    </xf>
    <xf numFmtId="0" fontId="23" fillId="7" borderId="72" xfId="0" applyFont="1" applyFill="1" applyBorder="1" applyAlignment="1">
      <alignment horizontal="center" vertical="center" wrapText="1"/>
    </xf>
    <xf numFmtId="0" fontId="0" fillId="4" borderId="13" xfId="0" applyFill="1" applyBorder="1" applyAlignment="1">
      <alignment horizontal="center" vertical="center"/>
    </xf>
    <xf numFmtId="0" fontId="0" fillId="4" borderId="5" xfId="0" applyFill="1" applyBorder="1" applyAlignment="1">
      <alignment horizontal="center" vertical="center"/>
    </xf>
    <xf numFmtId="0" fontId="0" fillId="13" borderId="5" xfId="0" applyFill="1" applyBorder="1" applyAlignment="1">
      <alignment horizontal="center" vertical="center"/>
    </xf>
    <xf numFmtId="0" fontId="0" fillId="25" borderId="19" xfId="0" applyFill="1" applyBorder="1" applyAlignment="1">
      <alignment horizontal="center" vertical="center"/>
    </xf>
    <xf numFmtId="0" fontId="0" fillId="25" borderId="63" xfId="0" applyFill="1" applyBorder="1" applyAlignment="1">
      <alignment horizontal="center" vertical="center"/>
    </xf>
    <xf numFmtId="0" fontId="0" fillId="25" borderId="13" xfId="0" applyFill="1" applyBorder="1" applyAlignment="1">
      <alignment horizontal="center" vertical="center"/>
    </xf>
    <xf numFmtId="0" fontId="0" fillId="23" borderId="5" xfId="0" applyFill="1" applyBorder="1" applyAlignment="1">
      <alignment horizontal="center" vertical="center"/>
    </xf>
    <xf numFmtId="0" fontId="0" fillId="4" borderId="62" xfId="0" applyFill="1" applyBorder="1" applyAlignment="1">
      <alignment horizontal="center" vertical="center"/>
    </xf>
    <xf numFmtId="0" fontId="0" fillId="4" borderId="14" xfId="0" applyFill="1" applyBorder="1" applyAlignment="1">
      <alignment horizontal="center" vertical="center"/>
    </xf>
    <xf numFmtId="0" fontId="0" fillId="13" borderId="20" xfId="0" applyFill="1" applyBorder="1" applyAlignment="1">
      <alignment horizontal="center" vertical="center"/>
    </xf>
    <xf numFmtId="0" fontId="0" fillId="13" borderId="62" xfId="0" applyFill="1" applyBorder="1" applyAlignment="1">
      <alignment horizontal="center" vertical="center"/>
    </xf>
    <xf numFmtId="0" fontId="0" fillId="13" borderId="14" xfId="0" applyFill="1" applyBorder="1" applyAlignment="1">
      <alignment horizontal="center" vertical="center"/>
    </xf>
    <xf numFmtId="0" fontId="0" fillId="25" borderId="20" xfId="0" applyFill="1" applyBorder="1" applyAlignment="1">
      <alignment horizontal="center" vertical="center"/>
    </xf>
    <xf numFmtId="0" fontId="0" fillId="25" borderId="62" xfId="0" applyFill="1" applyBorder="1" applyAlignment="1">
      <alignment horizontal="center" vertical="center"/>
    </xf>
    <xf numFmtId="0" fontId="0" fillId="25" borderId="14" xfId="0" applyFill="1" applyBorder="1" applyAlignment="1">
      <alignment horizontal="center" vertical="center"/>
    </xf>
    <xf numFmtId="0" fontId="0" fillId="23" borderId="20" xfId="0" applyFill="1" applyBorder="1" applyAlignment="1">
      <alignment horizontal="center" vertical="center"/>
    </xf>
    <xf numFmtId="0" fontId="0" fillId="23" borderId="62" xfId="0" applyFill="1" applyBorder="1" applyAlignment="1">
      <alignment horizontal="center" vertical="center"/>
    </xf>
    <xf numFmtId="4" fontId="0" fillId="4" borderId="14" xfId="0" applyNumberFormat="1" applyFill="1" applyBorder="1" applyAlignment="1">
      <alignment horizontal="center" vertical="center"/>
    </xf>
    <xf numFmtId="4" fontId="0" fillId="4" borderId="6" xfId="0" applyNumberFormat="1" applyFill="1" applyBorder="1" applyAlignment="1">
      <alignment horizontal="center" vertical="center"/>
    </xf>
    <xf numFmtId="4" fontId="0" fillId="13" borderId="6" xfId="0" applyNumberFormat="1" applyFill="1" applyBorder="1" applyAlignment="1">
      <alignment horizontal="center" vertical="center"/>
    </xf>
    <xf numFmtId="4" fontId="0" fillId="25" borderId="6" xfId="0" applyNumberFormat="1" applyFill="1" applyBorder="1" applyAlignment="1">
      <alignment horizontal="center" vertical="center"/>
    </xf>
    <xf numFmtId="4" fontId="0" fillId="23" borderId="6" xfId="0" applyNumberFormat="1" applyFill="1" applyBorder="1" applyAlignment="1">
      <alignment horizontal="center" vertical="center"/>
    </xf>
    <xf numFmtId="0" fontId="0" fillId="23" borderId="6" xfId="0" applyFill="1" applyBorder="1" applyAlignment="1">
      <alignment horizontal="center" vertical="center"/>
    </xf>
    <xf numFmtId="0" fontId="0" fillId="4" borderId="15" xfId="0" applyFill="1" applyBorder="1" applyAlignment="1">
      <alignment horizontal="center" vertical="center"/>
    </xf>
    <xf numFmtId="0" fontId="0" fillId="4" borderId="11" xfId="0" applyFill="1" applyBorder="1" applyAlignment="1">
      <alignment horizontal="center" vertical="center"/>
    </xf>
    <xf numFmtId="0" fontId="0" fillId="13" borderId="11" xfId="0" applyFill="1" applyBorder="1" applyAlignment="1">
      <alignment horizontal="center" vertical="center"/>
    </xf>
    <xf numFmtId="0" fontId="0" fillId="25" borderId="11" xfId="0" applyFill="1" applyBorder="1" applyAlignment="1">
      <alignment horizontal="center" vertical="center"/>
    </xf>
    <xf numFmtId="0" fontId="0" fillId="23" borderId="11" xfId="0" applyFill="1" applyBorder="1" applyAlignment="1">
      <alignment horizontal="center" vertical="center"/>
    </xf>
    <xf numFmtId="0" fontId="60" fillId="0" borderId="0" xfId="0" applyFont="1" applyAlignment="1">
      <alignment horizontal="center"/>
    </xf>
    <xf numFmtId="0" fontId="56" fillId="15" borderId="37" xfId="0" applyFont="1" applyFill="1" applyBorder="1" applyAlignment="1">
      <alignment horizontal="center" wrapText="1"/>
    </xf>
    <xf numFmtId="0" fontId="56" fillId="15" borderId="59" xfId="0" applyFont="1" applyFill="1" applyBorder="1" applyAlignment="1">
      <alignment horizontal="center" wrapText="1"/>
    </xf>
    <xf numFmtId="0" fontId="56" fillId="15" borderId="38" xfId="0" applyFont="1" applyFill="1" applyBorder="1" applyAlignment="1">
      <alignment horizontal="center" wrapText="1"/>
    </xf>
    <xf numFmtId="0" fontId="43" fillId="19" borderId="51" xfId="0" applyFont="1" applyFill="1" applyBorder="1" applyAlignment="1">
      <alignment horizontal="center" vertical="center" wrapText="1"/>
    </xf>
    <xf numFmtId="0" fontId="43" fillId="19" borderId="52" xfId="0" applyFont="1" applyFill="1" applyBorder="1" applyAlignment="1">
      <alignment horizontal="center" vertical="center" wrapText="1"/>
    </xf>
    <xf numFmtId="0" fontId="43" fillId="19" borderId="53" xfId="0" applyFont="1" applyFill="1" applyBorder="1" applyAlignment="1">
      <alignment horizontal="center" vertical="center" wrapText="1"/>
    </xf>
    <xf numFmtId="0" fontId="43" fillId="19" borderId="54" xfId="0" applyFont="1" applyFill="1" applyBorder="1" applyAlignment="1">
      <alignment horizontal="center" vertical="center" wrapText="1"/>
    </xf>
    <xf numFmtId="0" fontId="43" fillId="19" borderId="55" xfId="0" applyFont="1" applyFill="1" applyBorder="1" applyAlignment="1">
      <alignment horizontal="center" vertical="center" wrapText="1"/>
    </xf>
    <xf numFmtId="0" fontId="43" fillId="19" borderId="56" xfId="0" applyFont="1" applyFill="1" applyBorder="1" applyAlignment="1">
      <alignment horizontal="center" vertical="center" wrapText="1"/>
    </xf>
    <xf numFmtId="0" fontId="47" fillId="18" borderId="0" xfId="0" applyFont="1" applyFill="1" applyAlignment="1">
      <alignment horizontal="center" vertical="center" wrapText="1"/>
    </xf>
    <xf numFmtId="0" fontId="47" fillId="18" borderId="42" xfId="0" applyFont="1" applyFill="1" applyBorder="1" applyAlignment="1">
      <alignment horizontal="center" vertical="center"/>
    </xf>
    <xf numFmtId="0" fontId="47" fillId="18" borderId="44" xfId="0" applyFont="1" applyFill="1" applyBorder="1" applyAlignment="1">
      <alignment horizontal="center" vertical="center"/>
    </xf>
    <xf numFmtId="0" fontId="47" fillId="18" borderId="43" xfId="0" applyFont="1" applyFill="1" applyBorder="1" applyAlignment="1">
      <alignment horizontal="center" vertical="center" wrapText="1"/>
    </xf>
    <xf numFmtId="0" fontId="47" fillId="18" borderId="45" xfId="0" applyFont="1" applyFill="1" applyBorder="1" applyAlignment="1">
      <alignment horizontal="center" vertical="center" wrapText="1"/>
    </xf>
    <xf numFmtId="0" fontId="45" fillId="18" borderId="4" xfId="0" applyFont="1" applyFill="1" applyBorder="1" applyAlignment="1">
      <alignment horizontal="center" vertical="center"/>
    </xf>
    <xf numFmtId="0" fontId="45" fillId="18" borderId="10" xfId="0" applyFont="1" applyFill="1" applyBorder="1" applyAlignment="1">
      <alignment horizontal="center" vertical="center"/>
    </xf>
    <xf numFmtId="0" fontId="44" fillId="18" borderId="3" xfId="0" applyFont="1" applyFill="1" applyBorder="1" applyAlignment="1">
      <alignment horizontal="center" vertical="center"/>
    </xf>
    <xf numFmtId="0" fontId="44" fillId="18" borderId="5" xfId="0" applyFont="1" applyFill="1" applyBorder="1" applyAlignment="1">
      <alignment horizontal="center" vertical="center"/>
    </xf>
    <xf numFmtId="0" fontId="40" fillId="17" borderId="37" xfId="0" applyFont="1" applyFill="1" applyBorder="1" applyAlignment="1">
      <alignment horizontal="center" vertical="center" wrapText="1"/>
    </xf>
    <xf numFmtId="0" fontId="40" fillId="17" borderId="38" xfId="0" applyFont="1" applyFill="1" applyBorder="1" applyAlignment="1">
      <alignment horizontal="center" vertical="center" wrapText="1"/>
    </xf>
    <xf numFmtId="0" fontId="42" fillId="0" borderId="0" xfId="0" applyFont="1" applyAlignment="1">
      <alignment horizontal="justify" vertical="center" wrapText="1"/>
    </xf>
    <xf numFmtId="0" fontId="0" fillId="0" borderId="0" xfId="0" applyAlignment="1">
      <alignment wrapText="1"/>
    </xf>
    <xf numFmtId="0" fontId="40" fillId="17" borderId="36" xfId="0" applyFont="1" applyFill="1" applyBorder="1" applyAlignment="1">
      <alignment horizontal="center" vertical="center" wrapText="1"/>
    </xf>
    <xf numFmtId="0" fontId="40" fillId="17" borderId="35" xfId="0" applyFont="1" applyFill="1" applyBorder="1" applyAlignment="1">
      <alignment horizontal="center" vertical="center" wrapText="1"/>
    </xf>
    <xf numFmtId="0" fontId="37" fillId="0" borderId="0" xfId="0" applyFont="1" applyAlignment="1">
      <alignment horizontal="center" wrapText="1"/>
    </xf>
    <xf numFmtId="0" fontId="18" fillId="0" borderId="0" xfId="0" applyFont="1" applyAlignment="1">
      <alignment horizontal="center"/>
    </xf>
    <xf numFmtId="0" fontId="15" fillId="0" borderId="0" xfId="0" applyFont="1" applyAlignment="1">
      <alignment horizontal="center"/>
    </xf>
    <xf numFmtId="0" fontId="1" fillId="0" borderId="0" xfId="0" applyFont="1" applyAlignment="1">
      <alignment horizontal="center"/>
    </xf>
  </cellXfs>
  <cellStyles count="81">
    <cellStyle name="Hipervínculo" xfId="4" builtinId="8"/>
    <cellStyle name="Millares" xfId="3" builtinId="3"/>
    <cellStyle name="Millares 10" xfId="21" xr:uid="{00000000-0005-0000-0000-000002000000}"/>
    <cellStyle name="Millares 13" xfId="24" xr:uid="{00000000-0005-0000-0000-000003000000}"/>
    <cellStyle name="Millares 14" xfId="10" xr:uid="{00000000-0005-0000-0000-000004000000}"/>
    <cellStyle name="Millares 17" xfId="1" xr:uid="{00000000-0005-0000-0000-000005000000}"/>
    <cellStyle name="Millares 2" xfId="15" xr:uid="{00000000-0005-0000-0000-000006000000}"/>
    <cellStyle name="Millares 2 10" xfId="14" xr:uid="{00000000-0005-0000-0000-000007000000}"/>
    <cellStyle name="Millares 2 11" xfId="17" xr:uid="{00000000-0005-0000-0000-000008000000}"/>
    <cellStyle name="Millares 2 12" xfId="19" xr:uid="{00000000-0005-0000-0000-000009000000}"/>
    <cellStyle name="Millares 2 13" xfId="20" xr:uid="{00000000-0005-0000-0000-00000A000000}"/>
    <cellStyle name="Millares 2 14" xfId="12" xr:uid="{00000000-0005-0000-0000-00000B000000}"/>
    <cellStyle name="Millares 2 15" xfId="23" xr:uid="{00000000-0005-0000-0000-00000C000000}"/>
    <cellStyle name="Millares 2 16" xfId="8" xr:uid="{00000000-0005-0000-0000-00000D000000}"/>
    <cellStyle name="Millares 2 17" xfId="5" xr:uid="{00000000-0005-0000-0000-00000E000000}"/>
    <cellStyle name="Millares 2 18" xfId="2" xr:uid="{00000000-0005-0000-0000-00000F000000}"/>
    <cellStyle name="Millares 2 19" xfId="9" xr:uid="{00000000-0005-0000-0000-000010000000}"/>
    <cellStyle name="Millares 2 2" xfId="25" xr:uid="{00000000-0005-0000-0000-000011000000}"/>
    <cellStyle name="Millares 2 20" xfId="22" xr:uid="{00000000-0005-0000-0000-000012000000}"/>
    <cellStyle name="Millares 2 21" xfId="7" xr:uid="{00000000-0005-0000-0000-000013000000}"/>
    <cellStyle name="Millares 2 3" xfId="26" xr:uid="{00000000-0005-0000-0000-000014000000}"/>
    <cellStyle name="Millares 2 4" xfId="27" xr:uid="{00000000-0005-0000-0000-000015000000}"/>
    <cellStyle name="Millares 2 5" xfId="28" xr:uid="{00000000-0005-0000-0000-000016000000}"/>
    <cellStyle name="Millares 2 6" xfId="29" xr:uid="{00000000-0005-0000-0000-000017000000}"/>
    <cellStyle name="Millares 2 7" xfId="13" xr:uid="{00000000-0005-0000-0000-000018000000}"/>
    <cellStyle name="Millares 2 8" xfId="16" xr:uid="{00000000-0005-0000-0000-000019000000}"/>
    <cellStyle name="Millares 2 9" xfId="18" xr:uid="{00000000-0005-0000-0000-00001A000000}"/>
    <cellStyle name="Millares 20" xfId="30" xr:uid="{00000000-0005-0000-0000-00001B000000}"/>
    <cellStyle name="Millares 21" xfId="31" xr:uid="{00000000-0005-0000-0000-00001C000000}"/>
    <cellStyle name="Millares 21 2" xfId="32" xr:uid="{00000000-0005-0000-0000-00001D000000}"/>
    <cellStyle name="Millares 21 3" xfId="33" xr:uid="{00000000-0005-0000-0000-00001E000000}"/>
    <cellStyle name="Millares 21 4" xfId="34" xr:uid="{00000000-0005-0000-0000-00001F000000}"/>
    <cellStyle name="Millares 3" xfId="35" xr:uid="{00000000-0005-0000-0000-000020000000}"/>
    <cellStyle name="Millares 31" xfId="36" xr:uid="{00000000-0005-0000-0000-000021000000}"/>
    <cellStyle name="Millares 31 2" xfId="37" xr:uid="{00000000-0005-0000-0000-000022000000}"/>
    <cellStyle name="Millares 31 3" xfId="11" xr:uid="{00000000-0005-0000-0000-000023000000}"/>
    <cellStyle name="Millares 31 4" xfId="38" xr:uid="{00000000-0005-0000-0000-000024000000}"/>
    <cellStyle name="Millares 4" xfId="39" xr:uid="{00000000-0005-0000-0000-000025000000}"/>
    <cellStyle name="Millares 4 10" xfId="40" xr:uid="{00000000-0005-0000-0000-000026000000}"/>
    <cellStyle name="Millares 4 11" xfId="41" xr:uid="{00000000-0005-0000-0000-000027000000}"/>
    <cellStyle name="Millares 4 12" xfId="42" xr:uid="{00000000-0005-0000-0000-000028000000}"/>
    <cellStyle name="Millares 4 13" xfId="6" xr:uid="{00000000-0005-0000-0000-000029000000}"/>
    <cellStyle name="Millares 4 14" xfId="43" xr:uid="{00000000-0005-0000-0000-00002A000000}"/>
    <cellStyle name="Millares 4 15" xfId="45" xr:uid="{00000000-0005-0000-0000-00002B000000}"/>
    <cellStyle name="Millares 4 16" xfId="47" xr:uid="{00000000-0005-0000-0000-00002C000000}"/>
    <cellStyle name="Millares 4 17" xfId="48" xr:uid="{00000000-0005-0000-0000-00002D000000}"/>
    <cellStyle name="Millares 4 18" xfId="49" xr:uid="{00000000-0005-0000-0000-00002E000000}"/>
    <cellStyle name="Millares 4 19" xfId="50" xr:uid="{00000000-0005-0000-0000-00002F000000}"/>
    <cellStyle name="Millares 4 2" xfId="51" xr:uid="{00000000-0005-0000-0000-000030000000}"/>
    <cellStyle name="Millares 4 20" xfId="44" xr:uid="{00000000-0005-0000-0000-000031000000}"/>
    <cellStyle name="Millares 4 21" xfId="46" xr:uid="{00000000-0005-0000-0000-000032000000}"/>
    <cellStyle name="Millares 4 3" xfId="52" xr:uid="{00000000-0005-0000-0000-000033000000}"/>
    <cellStyle name="Millares 4 4" xfId="53" xr:uid="{00000000-0005-0000-0000-000034000000}"/>
    <cellStyle name="Millares 4 5" xfId="54" xr:uid="{00000000-0005-0000-0000-000035000000}"/>
    <cellStyle name="Millares 4 6" xfId="55" xr:uid="{00000000-0005-0000-0000-000036000000}"/>
    <cellStyle name="Millares 4 7" xfId="56" xr:uid="{00000000-0005-0000-0000-000037000000}"/>
    <cellStyle name="Millares 4 8" xfId="57" xr:uid="{00000000-0005-0000-0000-000038000000}"/>
    <cellStyle name="Millares 4 9" xfId="58" xr:uid="{00000000-0005-0000-0000-000039000000}"/>
    <cellStyle name="Millares 44" xfId="59" xr:uid="{00000000-0005-0000-0000-00003A000000}"/>
    <cellStyle name="Millares 5" xfId="60" xr:uid="{00000000-0005-0000-0000-00003B000000}"/>
    <cellStyle name="Moneda 11" xfId="61" xr:uid="{00000000-0005-0000-0000-00003C000000}"/>
    <cellStyle name="Moneda 12" xfId="62" xr:uid="{00000000-0005-0000-0000-00003D000000}"/>
    <cellStyle name="Moneda 15" xfId="63" xr:uid="{00000000-0005-0000-0000-00003E000000}"/>
    <cellStyle name="Moneda 16" xfId="64" xr:uid="{00000000-0005-0000-0000-00003F000000}"/>
    <cellStyle name="Moneda 18" xfId="65" xr:uid="{00000000-0005-0000-0000-000040000000}"/>
    <cellStyle name="Moneda 19" xfId="66" xr:uid="{00000000-0005-0000-0000-000041000000}"/>
    <cellStyle name="Moneda 2" xfId="67" xr:uid="{00000000-0005-0000-0000-000042000000}"/>
    <cellStyle name="Moneda 5" xfId="68" xr:uid="{00000000-0005-0000-0000-000043000000}"/>
    <cellStyle name="Moneda 6" xfId="69" xr:uid="{00000000-0005-0000-0000-000044000000}"/>
    <cellStyle name="Normal" xfId="0" builtinId="0"/>
    <cellStyle name="Normal 2" xfId="70" xr:uid="{00000000-0005-0000-0000-000046000000}"/>
    <cellStyle name="Normal 2 2" xfId="71" xr:uid="{00000000-0005-0000-0000-000047000000}"/>
    <cellStyle name="Normal 2 2 2" xfId="72" xr:uid="{00000000-0005-0000-0000-000048000000}"/>
    <cellStyle name="Normal 2 2 3" xfId="73" xr:uid="{00000000-0005-0000-0000-000049000000}"/>
    <cellStyle name="Normal 2 2 4" xfId="74" xr:uid="{00000000-0005-0000-0000-00004A000000}"/>
    <cellStyle name="Normal 2 2 5" xfId="75" xr:uid="{00000000-0005-0000-0000-00004B000000}"/>
    <cellStyle name="Normal 2 3" xfId="76" xr:uid="{00000000-0005-0000-0000-00004C000000}"/>
    <cellStyle name="Normal 3" xfId="77" xr:uid="{00000000-0005-0000-0000-00004D000000}"/>
    <cellStyle name="Normal 4" xfId="78" xr:uid="{00000000-0005-0000-0000-00004E000000}"/>
    <cellStyle name="Normal 5" xfId="79" xr:uid="{00000000-0005-0000-0000-00004F000000}"/>
    <cellStyle name="Normal_Datos_Generales_SIGUAP" xfId="80" xr:uid="{00000000-0005-0000-0000-000050000000}"/>
  </cellStyles>
  <dxfs count="0"/>
  <tableStyles count="0" defaultTableStyle="TableStyleMedium2"/>
  <colors>
    <mruColors>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harts/_rels/chart1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Número</a:t>
            </a:r>
            <a:r>
              <a:rPr lang="es-GT" baseline="0"/>
              <a:t> de </a:t>
            </a:r>
            <a:r>
              <a:rPr lang="es-GT"/>
              <a:t>Biotopos por Regional</a:t>
            </a:r>
          </a:p>
        </c:rich>
      </c:tx>
      <c:overlay val="0"/>
      <c:spPr>
        <a:noFill/>
        <a:ln>
          <a:noFill/>
        </a:ln>
        <a:effectLst/>
      </c:spPr>
    </c:title>
    <c:autoTitleDeleted val="0"/>
    <c:plotArea>
      <c:layout/>
      <c:barChart>
        <c:barDir val="col"/>
        <c:grouping val="clustered"/>
        <c:varyColors val="0"/>
        <c:ser>
          <c:idx val="0"/>
          <c:order val="0"/>
          <c:tx>
            <c:strRef>
              <c:f>'Ha por Región y Cat Manejo'!$B$18</c:f>
              <c:strCache>
                <c:ptCount val="1"/>
                <c:pt idx="0">
                  <c:v>Biotopos</c:v>
                </c:pt>
              </c:strCache>
            </c:strRef>
          </c:tx>
          <c:spPr>
            <a:solidFill>
              <a:schemeClr val="accent1"/>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Manejo'!$A$19:$A$29</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Manejo'!$B$19:$B$29</c:f>
              <c:numCache>
                <c:formatCode>General</c:formatCode>
                <c:ptCount val="11"/>
                <c:pt idx="0">
                  <c:v>4</c:v>
                </c:pt>
                <c:pt idx="1">
                  <c:v>1</c:v>
                </c:pt>
                <c:pt idx="2">
                  <c:v>0</c:v>
                </c:pt>
                <c:pt idx="3">
                  <c:v>0</c:v>
                </c:pt>
                <c:pt idx="4">
                  <c:v>0</c:v>
                </c:pt>
                <c:pt idx="5">
                  <c:v>1</c:v>
                </c:pt>
                <c:pt idx="6">
                  <c:v>0</c:v>
                </c:pt>
                <c:pt idx="7">
                  <c:v>0</c:v>
                </c:pt>
                <c:pt idx="8">
                  <c:v>0</c:v>
                </c:pt>
                <c:pt idx="9">
                  <c:v>0</c:v>
                </c:pt>
                <c:pt idx="10">
                  <c:v>0</c:v>
                </c:pt>
              </c:numCache>
            </c:numRef>
          </c:val>
          <c:extLst>
            <c:ext xmlns:c16="http://schemas.microsoft.com/office/drawing/2014/chart" uri="{C3380CC4-5D6E-409C-BE32-E72D297353CC}">
              <c16:uniqueId val="{00000000-E7BD-489E-955B-90E972A78134}"/>
            </c:ext>
          </c:extLst>
        </c:ser>
        <c:ser>
          <c:idx val="1"/>
          <c:order val="1"/>
          <c:tx>
            <c:strRef>
              <c:f>'Ha por Región y Cat Manejo'!$C$18</c:f>
              <c:strCache>
                <c:ptCount val="1"/>
                <c:pt idx="0">
                  <c:v>Ha</c:v>
                </c:pt>
              </c:strCache>
            </c:strRef>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Manejo'!$A$19:$A$29</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Manejo'!$C$19:$C$29</c:f>
              <c:numCache>
                <c:formatCode>General</c:formatCode>
                <c:ptCount val="11"/>
                <c:pt idx="0">
                  <c:v>0</c:v>
                </c:pt>
                <c:pt idx="1">
                  <c:v>983.29200000000003</c:v>
                </c:pt>
                <c:pt idx="2">
                  <c:v>0</c:v>
                </c:pt>
                <c:pt idx="3">
                  <c:v>0</c:v>
                </c:pt>
                <c:pt idx="4">
                  <c:v>0</c:v>
                </c:pt>
                <c:pt idx="5">
                  <c:v>6265</c:v>
                </c:pt>
                <c:pt idx="6">
                  <c:v>0</c:v>
                </c:pt>
                <c:pt idx="7">
                  <c:v>0</c:v>
                </c:pt>
                <c:pt idx="8">
                  <c:v>0</c:v>
                </c:pt>
                <c:pt idx="9">
                  <c:v>0</c:v>
                </c:pt>
                <c:pt idx="10">
                  <c:v>0</c:v>
                </c:pt>
              </c:numCache>
            </c:numRef>
          </c:val>
          <c:extLst>
            <c:ext xmlns:c16="http://schemas.microsoft.com/office/drawing/2014/chart" uri="{C3380CC4-5D6E-409C-BE32-E72D297353CC}">
              <c16:uniqueId val="{00000001-E7BD-489E-955B-90E972A78134}"/>
            </c:ext>
          </c:extLst>
        </c:ser>
        <c:dLbls>
          <c:dLblPos val="outEnd"/>
          <c:showLegendKey val="0"/>
          <c:showVal val="1"/>
          <c:showCatName val="0"/>
          <c:showSerName val="0"/>
          <c:showPercent val="0"/>
          <c:showBubbleSize val="0"/>
        </c:dLbls>
        <c:gapWidth val="150"/>
        <c:axId val="139718808"/>
        <c:axId val="140366384"/>
      </c:barChart>
      <c:catAx>
        <c:axId val="139718808"/>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0366384"/>
        <c:crosses val="autoZero"/>
        <c:auto val="1"/>
        <c:lblAlgn val="ctr"/>
        <c:lblOffset val="100"/>
        <c:tickMarkSkip val="1"/>
        <c:noMultiLvlLbl val="0"/>
      </c:catAx>
      <c:valAx>
        <c:axId val="140366384"/>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39718808"/>
        <c:crosses val="autoZero"/>
        <c:crossBetween val="between"/>
      </c:valAx>
      <c:spPr>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sz="1400"/>
              <a:t>Reserva Forestal Protectora de Manantiales por Región</a:t>
            </a:r>
          </a:p>
        </c:rich>
      </c:tx>
      <c:overlay val="0"/>
      <c:spPr>
        <a:noFill/>
        <a:ln>
          <a:noFill/>
        </a:ln>
        <a:effectLst/>
      </c:spPr>
    </c:title>
    <c:autoTitleDeleted val="0"/>
    <c:plotArea>
      <c:layout/>
      <c:barChart>
        <c:barDir val="col"/>
        <c:grouping val="clustered"/>
        <c:varyColors val="0"/>
        <c:ser>
          <c:idx val="0"/>
          <c:order val="0"/>
          <c:tx>
            <c:strRef>
              <c:f>'Ha por Región y Cat Manejo'!$B$148</c:f>
              <c:strCache>
                <c:ptCount val="1"/>
                <c:pt idx="0">
                  <c:v>Reserva Forestal Protectora de Manantiales</c:v>
                </c:pt>
              </c:strCache>
            </c:strRef>
          </c:tx>
          <c:spPr>
            <a:solidFill>
              <a:schemeClr val="accent1"/>
            </a:solidFill>
            <a:ln>
              <a:noFill/>
            </a:ln>
            <a:effectLst/>
          </c:spPr>
          <c:invertIfNegative val="0"/>
          <c:cat>
            <c:strRef>
              <c:f>'Ha por Región y Cat Manejo'!$A$149:$A$159</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Manejo'!$B$149:$B$159</c:f>
              <c:numCache>
                <c:formatCode>General</c:formatCode>
                <c:ptCount val="11"/>
                <c:pt idx="0">
                  <c:v>0</c:v>
                </c:pt>
                <c:pt idx="1">
                  <c:v>0</c:v>
                </c:pt>
                <c:pt idx="2">
                  <c:v>0</c:v>
                </c:pt>
                <c:pt idx="3">
                  <c:v>0</c:v>
                </c:pt>
                <c:pt idx="4">
                  <c:v>0</c:v>
                </c:pt>
                <c:pt idx="5">
                  <c:v>0</c:v>
                </c:pt>
                <c:pt idx="6">
                  <c:v>0</c:v>
                </c:pt>
                <c:pt idx="7">
                  <c:v>0</c:v>
                </c:pt>
                <c:pt idx="8">
                  <c:v>0</c:v>
                </c:pt>
                <c:pt idx="9">
                  <c:v>1</c:v>
                </c:pt>
                <c:pt idx="10">
                  <c:v>0</c:v>
                </c:pt>
              </c:numCache>
            </c:numRef>
          </c:val>
          <c:extLst>
            <c:ext xmlns:c16="http://schemas.microsoft.com/office/drawing/2014/chart" uri="{C3380CC4-5D6E-409C-BE32-E72D297353CC}">
              <c16:uniqueId val="{00000000-6A6B-48D2-9848-9775BB36E03A}"/>
            </c:ext>
          </c:extLst>
        </c:ser>
        <c:ser>
          <c:idx val="1"/>
          <c:order val="1"/>
          <c:tx>
            <c:strRef>
              <c:f>'Ha por Región y Cat Manejo'!$C$148</c:f>
              <c:strCache>
                <c:ptCount val="1"/>
                <c:pt idx="0">
                  <c:v>Ha</c:v>
                </c:pt>
              </c:strCache>
            </c:strRef>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Manejo'!$A$149:$A$159</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Manejo'!$C$149:$C$159</c:f>
              <c:numCache>
                <c:formatCode>General</c:formatCode>
                <c:ptCount val="11"/>
                <c:pt idx="0">
                  <c:v>0</c:v>
                </c:pt>
                <c:pt idx="1">
                  <c:v>0</c:v>
                </c:pt>
                <c:pt idx="2">
                  <c:v>0</c:v>
                </c:pt>
                <c:pt idx="3">
                  <c:v>0</c:v>
                </c:pt>
                <c:pt idx="4">
                  <c:v>0</c:v>
                </c:pt>
                <c:pt idx="5">
                  <c:v>0</c:v>
                </c:pt>
                <c:pt idx="6">
                  <c:v>0</c:v>
                </c:pt>
                <c:pt idx="7">
                  <c:v>0</c:v>
                </c:pt>
                <c:pt idx="8">
                  <c:v>0</c:v>
                </c:pt>
                <c:pt idx="9">
                  <c:v>5372</c:v>
                </c:pt>
                <c:pt idx="10">
                  <c:v>0</c:v>
                </c:pt>
              </c:numCache>
            </c:numRef>
          </c:val>
          <c:extLst>
            <c:ext xmlns:c16="http://schemas.microsoft.com/office/drawing/2014/chart" uri="{C3380CC4-5D6E-409C-BE32-E72D297353CC}">
              <c16:uniqueId val="{00000001-6A6B-48D2-9848-9775BB36E03A}"/>
            </c:ext>
          </c:extLst>
        </c:ser>
        <c:dLbls>
          <c:showLegendKey val="0"/>
          <c:showVal val="0"/>
          <c:showCatName val="0"/>
          <c:showSerName val="0"/>
          <c:showPercent val="0"/>
          <c:showBubbleSize val="0"/>
        </c:dLbls>
        <c:gapWidth val="150"/>
        <c:axId val="140701912"/>
        <c:axId val="140702304"/>
      </c:barChart>
      <c:catAx>
        <c:axId val="140701912"/>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0702304"/>
        <c:crosses val="autoZero"/>
        <c:auto val="1"/>
        <c:lblAlgn val="ctr"/>
        <c:lblOffset val="100"/>
        <c:tickMarkSkip val="1"/>
        <c:noMultiLvlLbl val="0"/>
      </c:catAx>
      <c:valAx>
        <c:axId val="140702304"/>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0701912"/>
        <c:crosses val="autoZero"/>
        <c:crossBetween val="between"/>
      </c:valAx>
      <c:spPr>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Refugio</a:t>
            </a:r>
            <a:r>
              <a:rPr lang="es-GT" baseline="0"/>
              <a:t> de Vida Silvestre por Región</a:t>
            </a:r>
            <a:endParaRPr lang="es-GT"/>
          </a:p>
        </c:rich>
      </c:tx>
      <c:overlay val="0"/>
      <c:spPr>
        <a:noFill/>
        <a:ln>
          <a:noFill/>
        </a:ln>
        <a:effectLst/>
      </c:spPr>
    </c:title>
    <c:autoTitleDeleted val="0"/>
    <c:plotArea>
      <c:layout/>
      <c:barChart>
        <c:barDir val="col"/>
        <c:grouping val="clustered"/>
        <c:varyColors val="0"/>
        <c:ser>
          <c:idx val="0"/>
          <c:order val="0"/>
          <c:tx>
            <c:strRef>
              <c:f>'Ha por Región y Cat Manejo'!$B$162</c:f>
              <c:strCache>
                <c:ptCount val="1"/>
                <c:pt idx="0">
                  <c:v>Refugio de Vida Silvestre</c:v>
                </c:pt>
              </c:strCache>
            </c:strRef>
          </c:tx>
          <c:spPr>
            <a:solidFill>
              <a:schemeClr val="accent1"/>
            </a:solidFill>
            <a:ln>
              <a:noFill/>
            </a:ln>
            <a:effectLst/>
          </c:spPr>
          <c:invertIfNegative val="0"/>
          <c:cat>
            <c:strRef>
              <c:f>'Ha por Región y Cat Manejo'!$A$163:$A$173</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Manejo'!$B$163:$B$173</c:f>
              <c:numCache>
                <c:formatCode>General</c:formatCode>
                <c:ptCount val="11"/>
                <c:pt idx="0">
                  <c:v>4</c:v>
                </c:pt>
                <c:pt idx="1">
                  <c:v>0</c:v>
                </c:pt>
                <c:pt idx="2">
                  <c:v>0</c:v>
                </c:pt>
                <c:pt idx="3">
                  <c:v>0</c:v>
                </c:pt>
                <c:pt idx="4">
                  <c:v>0</c:v>
                </c:pt>
                <c:pt idx="5">
                  <c:v>2</c:v>
                </c:pt>
                <c:pt idx="6">
                  <c:v>0</c:v>
                </c:pt>
                <c:pt idx="7">
                  <c:v>0</c:v>
                </c:pt>
                <c:pt idx="8">
                  <c:v>0</c:v>
                </c:pt>
                <c:pt idx="9">
                  <c:v>0</c:v>
                </c:pt>
                <c:pt idx="10">
                  <c:v>0</c:v>
                </c:pt>
              </c:numCache>
            </c:numRef>
          </c:val>
          <c:extLst>
            <c:ext xmlns:c16="http://schemas.microsoft.com/office/drawing/2014/chart" uri="{C3380CC4-5D6E-409C-BE32-E72D297353CC}">
              <c16:uniqueId val="{00000000-63F7-4B48-ADCD-97BE640FE6CB}"/>
            </c:ext>
          </c:extLst>
        </c:ser>
        <c:ser>
          <c:idx val="1"/>
          <c:order val="1"/>
          <c:tx>
            <c:strRef>
              <c:f>'Ha por Región y Cat Manejo'!$C$162</c:f>
              <c:strCache>
                <c:ptCount val="1"/>
                <c:pt idx="0">
                  <c:v>Ha</c:v>
                </c:pt>
              </c:strCache>
            </c:strRef>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Manejo'!$A$163:$A$173</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Manejo'!$C$163:$C$173</c:f>
              <c:numCache>
                <c:formatCode>General</c:formatCode>
                <c:ptCount val="11"/>
                <c:pt idx="0">
                  <c:v>162166.6</c:v>
                </c:pt>
                <c:pt idx="1">
                  <c:v>0</c:v>
                </c:pt>
                <c:pt idx="2">
                  <c:v>0</c:v>
                </c:pt>
                <c:pt idx="3">
                  <c:v>0</c:v>
                </c:pt>
                <c:pt idx="4">
                  <c:v>0</c:v>
                </c:pt>
                <c:pt idx="5">
                  <c:v>172638.45</c:v>
                </c:pt>
                <c:pt idx="6">
                  <c:v>0</c:v>
                </c:pt>
                <c:pt idx="7">
                  <c:v>0</c:v>
                </c:pt>
                <c:pt idx="8">
                  <c:v>0</c:v>
                </c:pt>
                <c:pt idx="9">
                  <c:v>0</c:v>
                </c:pt>
                <c:pt idx="10">
                  <c:v>0</c:v>
                </c:pt>
              </c:numCache>
            </c:numRef>
          </c:val>
          <c:extLst>
            <c:ext xmlns:c16="http://schemas.microsoft.com/office/drawing/2014/chart" uri="{C3380CC4-5D6E-409C-BE32-E72D297353CC}">
              <c16:uniqueId val="{00000001-63F7-4B48-ADCD-97BE640FE6CB}"/>
            </c:ext>
          </c:extLst>
        </c:ser>
        <c:dLbls>
          <c:showLegendKey val="0"/>
          <c:showVal val="0"/>
          <c:showCatName val="0"/>
          <c:showSerName val="0"/>
          <c:showPercent val="0"/>
          <c:showBubbleSize val="0"/>
        </c:dLbls>
        <c:gapWidth val="150"/>
        <c:axId val="141229824"/>
        <c:axId val="141230216"/>
      </c:barChart>
      <c:catAx>
        <c:axId val="141229824"/>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1230216"/>
        <c:crosses val="autoZero"/>
        <c:auto val="1"/>
        <c:lblAlgn val="ctr"/>
        <c:lblOffset val="100"/>
        <c:tickMarkSkip val="1"/>
        <c:noMultiLvlLbl val="0"/>
      </c:catAx>
      <c:valAx>
        <c:axId val="141230216"/>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1229824"/>
        <c:crosses val="autoZero"/>
        <c:crossBetween val="between"/>
      </c:valAx>
      <c:spPr>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Reserva Biológica</a:t>
            </a:r>
            <a:r>
              <a:rPr lang="es-GT" baseline="0"/>
              <a:t> por Región</a:t>
            </a:r>
            <a:endParaRPr lang="es-GT"/>
          </a:p>
        </c:rich>
      </c:tx>
      <c:overlay val="0"/>
      <c:spPr>
        <a:noFill/>
        <a:ln>
          <a:noFill/>
        </a:ln>
        <a:effectLst/>
      </c:spPr>
    </c:title>
    <c:autoTitleDeleted val="0"/>
    <c:plotArea>
      <c:layout/>
      <c:barChart>
        <c:barDir val="col"/>
        <c:grouping val="clustered"/>
        <c:varyColors val="0"/>
        <c:ser>
          <c:idx val="0"/>
          <c:order val="0"/>
          <c:tx>
            <c:strRef>
              <c:f>'Ha por Región y Cat Manejo'!$B$176</c:f>
              <c:strCache>
                <c:ptCount val="1"/>
                <c:pt idx="0">
                  <c:v>Reserva Biológica</c:v>
                </c:pt>
              </c:strCache>
            </c:strRef>
          </c:tx>
          <c:spPr>
            <a:solidFill>
              <a:schemeClr val="accent1"/>
            </a:solidFill>
            <a:ln>
              <a:noFill/>
            </a:ln>
            <a:effectLst/>
          </c:spPr>
          <c:invertIfNegative val="0"/>
          <c:cat>
            <c:strRef>
              <c:f>'Ha por Región y Cat Manejo'!$A$177:$A$187</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Manejo'!$B$177:$B$187</c:f>
              <c:numCache>
                <c:formatCode>General</c:formatCode>
                <c:ptCount val="11"/>
                <c:pt idx="0">
                  <c:v>1</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A399-483B-A0B8-46CE80600BE0}"/>
            </c:ext>
          </c:extLst>
        </c:ser>
        <c:ser>
          <c:idx val="1"/>
          <c:order val="1"/>
          <c:tx>
            <c:strRef>
              <c:f>'Ha por Región y Cat Manejo'!$C$176</c:f>
              <c:strCache>
                <c:ptCount val="1"/>
                <c:pt idx="0">
                  <c:v>Ha</c:v>
                </c:pt>
              </c:strCache>
            </c:strRef>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Manejo'!$A$177:$A$187</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Manejo'!$C$177:$C$187</c:f>
              <c:numCache>
                <c:formatCode>General</c:formatCode>
                <c:ptCount val="11"/>
                <c:pt idx="0">
                  <c:v>60878</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A399-483B-A0B8-46CE80600BE0}"/>
            </c:ext>
          </c:extLst>
        </c:ser>
        <c:dLbls>
          <c:showLegendKey val="0"/>
          <c:showVal val="0"/>
          <c:showCatName val="0"/>
          <c:showSerName val="0"/>
          <c:showPercent val="0"/>
          <c:showBubbleSize val="0"/>
        </c:dLbls>
        <c:gapWidth val="150"/>
        <c:axId val="141231000"/>
        <c:axId val="141231392"/>
      </c:barChart>
      <c:catAx>
        <c:axId val="141231000"/>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1231392"/>
        <c:crosses val="autoZero"/>
        <c:auto val="1"/>
        <c:lblAlgn val="ctr"/>
        <c:lblOffset val="100"/>
        <c:tickMarkSkip val="1"/>
        <c:noMultiLvlLbl val="0"/>
      </c:catAx>
      <c:valAx>
        <c:axId val="141231392"/>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1231000"/>
        <c:crosses val="autoZero"/>
        <c:crossBetween val="between"/>
      </c:valAx>
      <c:spPr>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Reserva de Biósfera por Región</a:t>
            </a:r>
          </a:p>
        </c:rich>
      </c:tx>
      <c:overlay val="0"/>
      <c:spPr>
        <a:noFill/>
        <a:ln>
          <a:noFill/>
        </a:ln>
        <a:effectLst/>
      </c:spPr>
    </c:title>
    <c:autoTitleDeleted val="0"/>
    <c:plotArea>
      <c:layout/>
      <c:barChart>
        <c:barDir val="col"/>
        <c:grouping val="clustered"/>
        <c:varyColors val="0"/>
        <c:ser>
          <c:idx val="0"/>
          <c:order val="0"/>
          <c:tx>
            <c:strRef>
              <c:f>'Ha por Región y Cat Manejo'!$B$190</c:f>
              <c:strCache>
                <c:ptCount val="1"/>
                <c:pt idx="0">
                  <c:v>Reserva de Biósfera</c:v>
                </c:pt>
              </c:strCache>
            </c:strRef>
          </c:tx>
          <c:spPr>
            <a:solidFill>
              <a:schemeClr val="accent1"/>
            </a:solidFill>
            <a:ln>
              <a:noFill/>
            </a:ln>
            <a:effectLst/>
          </c:spPr>
          <c:invertIfNegative val="0"/>
          <c:cat>
            <c:strRef>
              <c:f>'Ha por Región y Cat Manejo'!$A$191:$A$201</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Manejo'!$B$191:$B$201</c:f>
              <c:numCache>
                <c:formatCode>General</c:formatCode>
                <c:ptCount val="11"/>
                <c:pt idx="0">
                  <c:v>2</c:v>
                </c:pt>
                <c:pt idx="1">
                  <c:v>0</c:v>
                </c:pt>
                <c:pt idx="2">
                  <c:v>0</c:v>
                </c:pt>
                <c:pt idx="3">
                  <c:v>0</c:v>
                </c:pt>
                <c:pt idx="4">
                  <c:v>1</c:v>
                </c:pt>
                <c:pt idx="5">
                  <c:v>0</c:v>
                </c:pt>
                <c:pt idx="6">
                  <c:v>1</c:v>
                </c:pt>
                <c:pt idx="7">
                  <c:v>0</c:v>
                </c:pt>
                <c:pt idx="8">
                  <c:v>0</c:v>
                </c:pt>
                <c:pt idx="9">
                  <c:v>0</c:v>
                </c:pt>
                <c:pt idx="10">
                  <c:v>1</c:v>
                </c:pt>
              </c:numCache>
            </c:numRef>
          </c:val>
          <c:extLst>
            <c:ext xmlns:c16="http://schemas.microsoft.com/office/drawing/2014/chart" uri="{C3380CC4-5D6E-409C-BE32-E72D297353CC}">
              <c16:uniqueId val="{00000000-98B2-4414-8606-3BF76EA30F37}"/>
            </c:ext>
          </c:extLst>
        </c:ser>
        <c:ser>
          <c:idx val="1"/>
          <c:order val="1"/>
          <c:tx>
            <c:strRef>
              <c:f>'Ha por Región y Cat Manejo'!$C$190</c:f>
              <c:strCache>
                <c:ptCount val="1"/>
                <c:pt idx="0">
                  <c:v>Ha</c:v>
                </c:pt>
              </c:strCache>
            </c:strRef>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Manejo'!$A$191:$A$201</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Manejo'!$C$191:$C$201</c:f>
              <c:numCache>
                <c:formatCode>General</c:formatCode>
                <c:ptCount val="11"/>
                <c:pt idx="0">
                  <c:v>2283889</c:v>
                </c:pt>
                <c:pt idx="1">
                  <c:v>0</c:v>
                </c:pt>
                <c:pt idx="2">
                  <c:v>0</c:v>
                </c:pt>
                <c:pt idx="3">
                  <c:v>0</c:v>
                </c:pt>
                <c:pt idx="4">
                  <c:v>45000</c:v>
                </c:pt>
                <c:pt idx="5">
                  <c:v>0</c:v>
                </c:pt>
                <c:pt idx="6">
                  <c:v>22114.45</c:v>
                </c:pt>
                <c:pt idx="7">
                  <c:v>0</c:v>
                </c:pt>
                <c:pt idx="8">
                  <c:v>0</c:v>
                </c:pt>
                <c:pt idx="9">
                  <c:v>0</c:v>
                </c:pt>
                <c:pt idx="10">
                  <c:v>240803</c:v>
                </c:pt>
              </c:numCache>
            </c:numRef>
          </c:val>
          <c:extLst>
            <c:ext xmlns:c16="http://schemas.microsoft.com/office/drawing/2014/chart" uri="{C3380CC4-5D6E-409C-BE32-E72D297353CC}">
              <c16:uniqueId val="{00000001-98B2-4414-8606-3BF76EA30F37}"/>
            </c:ext>
          </c:extLst>
        </c:ser>
        <c:dLbls>
          <c:showLegendKey val="0"/>
          <c:showVal val="0"/>
          <c:showCatName val="0"/>
          <c:showSerName val="0"/>
          <c:showPercent val="0"/>
          <c:showBubbleSize val="0"/>
        </c:dLbls>
        <c:gapWidth val="150"/>
        <c:axId val="141232176"/>
        <c:axId val="141232568"/>
      </c:barChart>
      <c:catAx>
        <c:axId val="141232176"/>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1232568"/>
        <c:crosses val="autoZero"/>
        <c:auto val="1"/>
        <c:lblAlgn val="ctr"/>
        <c:lblOffset val="100"/>
        <c:tickMarkSkip val="1"/>
        <c:noMultiLvlLbl val="0"/>
      </c:catAx>
      <c:valAx>
        <c:axId val="141232568"/>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1232176"/>
        <c:crosses val="autoZero"/>
        <c:crossBetween val="between"/>
      </c:valAx>
      <c:spPr>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Área de Uso Múltiple por Región</a:t>
            </a:r>
          </a:p>
        </c:rich>
      </c:tx>
      <c:overlay val="0"/>
      <c:spPr>
        <a:noFill/>
        <a:ln>
          <a:noFill/>
        </a:ln>
        <a:effectLst/>
      </c:spPr>
    </c:title>
    <c:autoTitleDeleted val="0"/>
    <c:plotArea>
      <c:layout/>
      <c:barChart>
        <c:barDir val="col"/>
        <c:grouping val="clustered"/>
        <c:varyColors val="0"/>
        <c:ser>
          <c:idx val="0"/>
          <c:order val="0"/>
          <c:tx>
            <c:strRef>
              <c:f>'Ha por Región y Cat Manejo'!$B$204</c:f>
              <c:strCache>
                <c:ptCount val="1"/>
                <c:pt idx="0">
                  <c:v>Área de Uso Múltiple</c:v>
                </c:pt>
              </c:strCache>
            </c:strRef>
          </c:tx>
          <c:spPr>
            <a:solidFill>
              <a:schemeClr val="accent1"/>
            </a:solidFill>
            <a:ln>
              <a:noFill/>
            </a:ln>
            <a:effectLst/>
          </c:spPr>
          <c:invertIfNegative val="0"/>
          <c:cat>
            <c:strRef>
              <c:f>'Ha por Región y Cat Manejo'!$A$205:$A$215</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Manejo'!$B$205:$B$215</c:f>
              <c:numCache>
                <c:formatCode>General</c:formatCode>
                <c:ptCount val="11"/>
                <c:pt idx="0">
                  <c:v>0</c:v>
                </c:pt>
                <c:pt idx="1">
                  <c:v>0</c:v>
                </c:pt>
                <c:pt idx="2">
                  <c:v>1</c:v>
                </c:pt>
                <c:pt idx="3">
                  <c:v>0</c:v>
                </c:pt>
                <c:pt idx="4">
                  <c:v>0</c:v>
                </c:pt>
                <c:pt idx="5">
                  <c:v>1</c:v>
                </c:pt>
                <c:pt idx="6">
                  <c:v>0</c:v>
                </c:pt>
                <c:pt idx="7">
                  <c:v>3</c:v>
                </c:pt>
                <c:pt idx="8">
                  <c:v>0</c:v>
                </c:pt>
                <c:pt idx="9">
                  <c:v>0</c:v>
                </c:pt>
                <c:pt idx="10">
                  <c:v>0</c:v>
                </c:pt>
              </c:numCache>
            </c:numRef>
          </c:val>
          <c:extLst>
            <c:ext xmlns:c16="http://schemas.microsoft.com/office/drawing/2014/chart" uri="{C3380CC4-5D6E-409C-BE32-E72D297353CC}">
              <c16:uniqueId val="{00000000-44C3-446D-BFCE-9AA1382B3491}"/>
            </c:ext>
          </c:extLst>
        </c:ser>
        <c:ser>
          <c:idx val="1"/>
          <c:order val="1"/>
          <c:tx>
            <c:strRef>
              <c:f>'Ha por Región y Cat Manejo'!$C$204</c:f>
              <c:strCache>
                <c:ptCount val="1"/>
                <c:pt idx="0">
                  <c:v>Ha</c:v>
                </c:pt>
              </c:strCache>
            </c:strRef>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Manejo'!$A$205:$A$215</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Manejo'!$C$205:$C$215</c:f>
              <c:numCache>
                <c:formatCode>General</c:formatCode>
                <c:ptCount val="11"/>
                <c:pt idx="0">
                  <c:v>0</c:v>
                </c:pt>
                <c:pt idx="1">
                  <c:v>0</c:v>
                </c:pt>
                <c:pt idx="2">
                  <c:v>122900</c:v>
                </c:pt>
                <c:pt idx="3">
                  <c:v>0</c:v>
                </c:pt>
                <c:pt idx="4">
                  <c:v>0</c:v>
                </c:pt>
                <c:pt idx="5">
                  <c:v>35202</c:v>
                </c:pt>
                <c:pt idx="6">
                  <c:v>0</c:v>
                </c:pt>
                <c:pt idx="7">
                  <c:v>12043.66</c:v>
                </c:pt>
                <c:pt idx="8">
                  <c:v>0</c:v>
                </c:pt>
                <c:pt idx="9">
                  <c:v>0</c:v>
                </c:pt>
                <c:pt idx="10">
                  <c:v>0</c:v>
                </c:pt>
              </c:numCache>
            </c:numRef>
          </c:val>
          <c:extLst>
            <c:ext xmlns:c16="http://schemas.microsoft.com/office/drawing/2014/chart" uri="{C3380CC4-5D6E-409C-BE32-E72D297353CC}">
              <c16:uniqueId val="{00000001-44C3-446D-BFCE-9AA1382B3491}"/>
            </c:ext>
          </c:extLst>
        </c:ser>
        <c:dLbls>
          <c:showLegendKey val="0"/>
          <c:showVal val="0"/>
          <c:showCatName val="0"/>
          <c:showSerName val="0"/>
          <c:showPercent val="0"/>
          <c:showBubbleSize val="0"/>
        </c:dLbls>
        <c:gapWidth val="150"/>
        <c:axId val="141233352"/>
        <c:axId val="170977376"/>
      </c:barChart>
      <c:catAx>
        <c:axId val="141233352"/>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0977376"/>
        <c:crosses val="autoZero"/>
        <c:auto val="1"/>
        <c:lblAlgn val="ctr"/>
        <c:lblOffset val="100"/>
        <c:tickMarkSkip val="1"/>
        <c:noMultiLvlLbl val="0"/>
      </c:catAx>
      <c:valAx>
        <c:axId val="170977376"/>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1233352"/>
        <c:crosses val="autoZero"/>
        <c:crossBetween val="between"/>
      </c:valAx>
      <c:spPr>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Reserva Natural Privada por Región</a:t>
            </a:r>
          </a:p>
        </c:rich>
      </c:tx>
      <c:overlay val="0"/>
      <c:spPr>
        <a:noFill/>
        <a:ln>
          <a:noFill/>
        </a:ln>
        <a:effectLst/>
      </c:spPr>
    </c:title>
    <c:autoTitleDeleted val="0"/>
    <c:plotArea>
      <c:layout/>
      <c:barChart>
        <c:barDir val="col"/>
        <c:grouping val="clustered"/>
        <c:varyColors val="0"/>
        <c:ser>
          <c:idx val="0"/>
          <c:order val="0"/>
          <c:tx>
            <c:strRef>
              <c:f>'Ha por Región y Cat Manejo'!$B$218</c:f>
              <c:strCache>
                <c:ptCount val="1"/>
                <c:pt idx="0">
                  <c:v>Reserva Natural Privada</c:v>
                </c:pt>
              </c:strCache>
            </c:strRef>
          </c:tx>
          <c:spPr>
            <a:solidFill>
              <a:schemeClr val="accent1"/>
            </a:solidFill>
            <a:ln>
              <a:noFill/>
            </a:ln>
            <a:effectLst/>
          </c:spPr>
          <c:invertIfNegative val="0"/>
          <c:cat>
            <c:strRef>
              <c:f>'Ha por Región y Cat Manejo'!$A$219:$A$229</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Manejo'!$B$219:$B$229</c:f>
              <c:numCache>
                <c:formatCode>General</c:formatCode>
                <c:ptCount val="11"/>
                <c:pt idx="0">
                  <c:v>22</c:v>
                </c:pt>
                <c:pt idx="1">
                  <c:v>33</c:v>
                </c:pt>
                <c:pt idx="2">
                  <c:v>15</c:v>
                </c:pt>
                <c:pt idx="3">
                  <c:v>13</c:v>
                </c:pt>
                <c:pt idx="4">
                  <c:v>6</c:v>
                </c:pt>
                <c:pt idx="5">
                  <c:v>33</c:v>
                </c:pt>
                <c:pt idx="6">
                  <c:v>23</c:v>
                </c:pt>
                <c:pt idx="7">
                  <c:v>7</c:v>
                </c:pt>
                <c:pt idx="8">
                  <c:v>21</c:v>
                </c:pt>
                <c:pt idx="9">
                  <c:v>14</c:v>
                </c:pt>
                <c:pt idx="10">
                  <c:v>0</c:v>
                </c:pt>
              </c:numCache>
            </c:numRef>
          </c:val>
          <c:extLst>
            <c:ext xmlns:c16="http://schemas.microsoft.com/office/drawing/2014/chart" uri="{C3380CC4-5D6E-409C-BE32-E72D297353CC}">
              <c16:uniqueId val="{00000000-B7AE-45F1-B3D4-0744BD959288}"/>
            </c:ext>
          </c:extLst>
        </c:ser>
        <c:ser>
          <c:idx val="1"/>
          <c:order val="1"/>
          <c:tx>
            <c:strRef>
              <c:f>'Ha por Región y Cat Manejo'!$C$218</c:f>
              <c:strCache>
                <c:ptCount val="1"/>
                <c:pt idx="0">
                  <c:v>Ha</c:v>
                </c:pt>
              </c:strCache>
            </c:strRef>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Manejo'!$A$219:$A$229</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Manejo'!$C$219:$C$229</c:f>
              <c:numCache>
                <c:formatCode>General</c:formatCode>
                <c:ptCount val="11"/>
                <c:pt idx="0">
                  <c:v>2790.32</c:v>
                </c:pt>
                <c:pt idx="1">
                  <c:v>7598.98</c:v>
                </c:pt>
                <c:pt idx="2">
                  <c:v>592.24130000000002</c:v>
                </c:pt>
                <c:pt idx="3">
                  <c:v>4076.89</c:v>
                </c:pt>
                <c:pt idx="4" formatCode="#,##0.00000">
                  <c:v>1220.7280499999999</c:v>
                </c:pt>
                <c:pt idx="5">
                  <c:v>3131.77</c:v>
                </c:pt>
                <c:pt idx="6">
                  <c:v>1334.32</c:v>
                </c:pt>
                <c:pt idx="7">
                  <c:v>3841.62</c:v>
                </c:pt>
                <c:pt idx="8" formatCode="0.000">
                  <c:v>4860.8429999999998</c:v>
                </c:pt>
                <c:pt idx="9">
                  <c:v>1894.04</c:v>
                </c:pt>
                <c:pt idx="10">
                  <c:v>0</c:v>
                </c:pt>
              </c:numCache>
            </c:numRef>
          </c:val>
          <c:extLst>
            <c:ext xmlns:c16="http://schemas.microsoft.com/office/drawing/2014/chart" uri="{C3380CC4-5D6E-409C-BE32-E72D297353CC}">
              <c16:uniqueId val="{00000001-B7AE-45F1-B3D4-0744BD959288}"/>
            </c:ext>
          </c:extLst>
        </c:ser>
        <c:dLbls>
          <c:showLegendKey val="0"/>
          <c:showVal val="0"/>
          <c:showCatName val="0"/>
          <c:showSerName val="0"/>
          <c:showPercent val="0"/>
          <c:showBubbleSize val="0"/>
        </c:dLbls>
        <c:gapWidth val="150"/>
        <c:axId val="170978160"/>
        <c:axId val="170978552"/>
      </c:barChart>
      <c:catAx>
        <c:axId val="170978160"/>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0978552"/>
        <c:crosses val="autoZero"/>
        <c:auto val="1"/>
        <c:lblAlgn val="ctr"/>
        <c:lblOffset val="100"/>
        <c:tickMarkSkip val="1"/>
        <c:noMultiLvlLbl val="0"/>
      </c:catAx>
      <c:valAx>
        <c:axId val="170978552"/>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0978160"/>
        <c:crosses val="autoZero"/>
        <c:crossBetween val="between"/>
      </c:valAx>
      <c:spPr>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ZVD por Región</a:t>
            </a:r>
          </a:p>
        </c:rich>
      </c:tx>
      <c:overlay val="0"/>
      <c:spPr>
        <a:noFill/>
        <a:ln>
          <a:noFill/>
        </a:ln>
        <a:effectLst/>
      </c:spPr>
    </c:title>
    <c:autoTitleDeleted val="0"/>
    <c:plotArea>
      <c:layout/>
      <c:barChart>
        <c:barDir val="col"/>
        <c:grouping val="clustered"/>
        <c:varyColors val="0"/>
        <c:ser>
          <c:idx val="0"/>
          <c:order val="0"/>
          <c:tx>
            <c:strRef>
              <c:f>'Ha por Región y Cat Manejo'!$B$232</c:f>
              <c:strCache>
                <c:ptCount val="1"/>
                <c:pt idx="0">
                  <c:v>ZVD</c:v>
                </c:pt>
              </c:strCache>
            </c:strRef>
          </c:tx>
          <c:spPr>
            <a:solidFill>
              <a:schemeClr val="accent1"/>
            </a:solidFill>
            <a:ln>
              <a:noFill/>
            </a:ln>
            <a:effectLst/>
          </c:spPr>
          <c:invertIfNegative val="0"/>
          <c:cat>
            <c:strRef>
              <c:f>'Ha por Región y Cat Manejo'!$A$233:$A$243</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Manejo'!$B$233:$B$243</c:f>
              <c:numCache>
                <c:formatCode>General</c:formatCode>
                <c:ptCount val="11"/>
                <c:pt idx="0">
                  <c:v>0</c:v>
                </c:pt>
                <c:pt idx="1">
                  <c:v>0</c:v>
                </c:pt>
                <c:pt idx="2">
                  <c:v>0</c:v>
                </c:pt>
                <c:pt idx="3">
                  <c:v>10</c:v>
                </c:pt>
                <c:pt idx="4">
                  <c:v>0</c:v>
                </c:pt>
                <c:pt idx="5">
                  <c:v>1</c:v>
                </c:pt>
                <c:pt idx="6">
                  <c:v>1</c:v>
                </c:pt>
                <c:pt idx="7">
                  <c:v>14</c:v>
                </c:pt>
                <c:pt idx="8">
                  <c:v>0</c:v>
                </c:pt>
                <c:pt idx="9">
                  <c:v>4</c:v>
                </c:pt>
                <c:pt idx="10">
                  <c:v>0</c:v>
                </c:pt>
              </c:numCache>
            </c:numRef>
          </c:val>
          <c:extLst>
            <c:ext xmlns:c16="http://schemas.microsoft.com/office/drawing/2014/chart" uri="{C3380CC4-5D6E-409C-BE32-E72D297353CC}">
              <c16:uniqueId val="{00000000-554F-4FE3-96C1-DAF88104C846}"/>
            </c:ext>
          </c:extLst>
        </c:ser>
        <c:ser>
          <c:idx val="1"/>
          <c:order val="1"/>
          <c:tx>
            <c:strRef>
              <c:f>'Ha por Región y Cat Manejo'!$C$232</c:f>
              <c:strCache>
                <c:ptCount val="1"/>
                <c:pt idx="0">
                  <c:v>Ha</c:v>
                </c:pt>
              </c:strCache>
            </c:strRef>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Manejo'!$A$233:$A$243</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Manejo'!$C$233:$C$243</c:f>
              <c:numCache>
                <c:formatCode>General</c:formatCode>
                <c:ptCount val="11"/>
                <c:pt idx="0">
                  <c:v>0</c:v>
                </c:pt>
                <c:pt idx="1">
                  <c:v>0</c:v>
                </c:pt>
                <c:pt idx="2">
                  <c:v>0</c:v>
                </c:pt>
                <c:pt idx="3">
                  <c:v>29963.06</c:v>
                </c:pt>
                <c:pt idx="4">
                  <c:v>0</c:v>
                </c:pt>
                <c:pt idx="5">
                  <c:v>311.26</c:v>
                </c:pt>
                <c:pt idx="6">
                  <c:v>0</c:v>
                </c:pt>
                <c:pt idx="7">
                  <c:v>7193.05</c:v>
                </c:pt>
                <c:pt idx="8">
                  <c:v>0</c:v>
                </c:pt>
                <c:pt idx="9">
                  <c:v>18573.39</c:v>
                </c:pt>
                <c:pt idx="10">
                  <c:v>0</c:v>
                </c:pt>
              </c:numCache>
            </c:numRef>
          </c:val>
          <c:extLst>
            <c:ext xmlns:c16="http://schemas.microsoft.com/office/drawing/2014/chart" uri="{C3380CC4-5D6E-409C-BE32-E72D297353CC}">
              <c16:uniqueId val="{00000001-554F-4FE3-96C1-DAF88104C846}"/>
            </c:ext>
          </c:extLst>
        </c:ser>
        <c:dLbls>
          <c:showLegendKey val="0"/>
          <c:showVal val="0"/>
          <c:showCatName val="0"/>
          <c:showSerName val="0"/>
          <c:showPercent val="0"/>
          <c:showBubbleSize val="0"/>
        </c:dLbls>
        <c:gapWidth val="150"/>
        <c:axId val="170979336"/>
        <c:axId val="170979728"/>
      </c:barChart>
      <c:catAx>
        <c:axId val="170979336"/>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0979728"/>
        <c:crosses val="autoZero"/>
        <c:auto val="1"/>
        <c:lblAlgn val="ctr"/>
        <c:lblOffset val="100"/>
        <c:tickMarkSkip val="1"/>
        <c:noMultiLvlLbl val="0"/>
      </c:catAx>
      <c:valAx>
        <c:axId val="170979728"/>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0979336"/>
        <c:crosses val="autoZero"/>
        <c:crossBetween val="between"/>
      </c:valAx>
      <c:spPr>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Distribución Regional del SIGAP en número de Áreas Protegidas</a:t>
            </a:r>
          </a:p>
        </c:rich>
      </c:tx>
      <c:layout>
        <c:manualLayout>
          <c:xMode val="edge"/>
          <c:yMode val="edge"/>
          <c:x val="0.11231441048034933"/>
          <c:y val="2.4464831804281346E-2"/>
        </c:manualLayout>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'Areas por Regional'!$B$3:$B$13</c:f>
              <c:strCache>
                <c:ptCount val="11"/>
                <c:pt idx="0">
                  <c:v>Altiplano Central</c:v>
                </c:pt>
                <c:pt idx="1">
                  <c:v>Altiplano Occidental</c:v>
                </c:pt>
                <c:pt idx="2">
                  <c:v>Metropolitana</c:v>
                </c:pt>
                <c:pt idx="3">
                  <c:v>Costa Sur</c:v>
                </c:pt>
                <c:pt idx="4">
                  <c:v>Noroccidente</c:v>
                </c:pt>
                <c:pt idx="5">
                  <c:v>Nororiente</c:v>
                </c:pt>
                <c:pt idx="6">
                  <c:v>Oriente</c:v>
                </c:pt>
                <c:pt idx="7">
                  <c:v>Petén</c:v>
                </c:pt>
                <c:pt idx="8">
                  <c:v>Suroriente</c:v>
                </c:pt>
                <c:pt idx="9">
                  <c:v>Verapaces</c:v>
                </c:pt>
                <c:pt idx="10">
                  <c:v>Verapaces, Nororiente, Oriente</c:v>
                </c:pt>
              </c:strCache>
            </c:strRef>
          </c:cat>
          <c:val>
            <c:numRef>
              <c:f>'Areas por Regional'!$C$3:$C$13</c:f>
              <c:numCache>
                <c:formatCode>General</c:formatCode>
                <c:ptCount val="11"/>
                <c:pt idx="0">
                  <c:v>28</c:v>
                </c:pt>
                <c:pt idx="1">
                  <c:v>38</c:v>
                </c:pt>
                <c:pt idx="2">
                  <c:v>27</c:v>
                </c:pt>
                <c:pt idx="3">
                  <c:v>23</c:v>
                </c:pt>
                <c:pt idx="4">
                  <c:v>24</c:v>
                </c:pt>
                <c:pt idx="5">
                  <c:v>43</c:v>
                </c:pt>
                <c:pt idx="6">
                  <c:v>32</c:v>
                </c:pt>
                <c:pt idx="7">
                  <c:v>63</c:v>
                </c:pt>
                <c:pt idx="8">
                  <c:v>27</c:v>
                </c:pt>
                <c:pt idx="9">
                  <c:v>43</c:v>
                </c:pt>
                <c:pt idx="10">
                  <c:v>1</c:v>
                </c:pt>
              </c:numCache>
            </c:numRef>
          </c:val>
          <c:extLst>
            <c:ext xmlns:c16="http://schemas.microsoft.com/office/drawing/2014/chart" uri="{C3380CC4-5D6E-409C-BE32-E72D297353CC}">
              <c16:uniqueId val="{00000000-A3F8-4FE1-A620-42F49625B624}"/>
            </c:ext>
          </c:extLst>
        </c:ser>
        <c:dLbls>
          <c:showLegendKey val="0"/>
          <c:showVal val="0"/>
          <c:showCatName val="0"/>
          <c:showSerName val="0"/>
          <c:showPercent val="0"/>
          <c:showBubbleSize val="0"/>
        </c:dLbls>
        <c:gapWidth val="150"/>
        <c:axId val="170980512"/>
        <c:axId val="170980904"/>
      </c:barChart>
      <c:catAx>
        <c:axId val="170980512"/>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0980904"/>
        <c:crosses val="autoZero"/>
        <c:auto val="1"/>
        <c:lblAlgn val="ctr"/>
        <c:lblOffset val="100"/>
        <c:tickMarkSkip val="1"/>
        <c:noMultiLvlLbl val="0"/>
      </c:catAx>
      <c:valAx>
        <c:axId val="170980904"/>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0980512"/>
        <c:crosses val="autoZero"/>
        <c:crossBetween val="between"/>
      </c:valAx>
      <c:spPr>
        <a:ln>
          <a:noFill/>
        </a:ln>
        <a:effectLst/>
      </c:spPr>
    </c:plotArea>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200" b="1">
                <a:solidFill>
                  <a:schemeClr val="tx1"/>
                </a:solidFill>
                <a:latin typeface="+mn-lt"/>
                <a:ea typeface="+mn-ea"/>
                <a:cs typeface="+mn-cs"/>
              </a:defRPr>
            </a:pPr>
            <a:r>
              <a:rPr lang="es-GT" sz="1200"/>
              <a:t>Distribución Regional de superficie del SIGAP (%)</a:t>
            </a:r>
          </a:p>
        </c:rich>
      </c:tx>
      <c:layout>
        <c:manualLayout>
          <c:xMode val="edge"/>
          <c:yMode val="edge"/>
          <c:x val="0.13701972225780698"/>
          <c:y val="1.3937282229965684E-3"/>
        </c:manualLayout>
      </c:layout>
      <c:overlay val="0"/>
      <c:spPr>
        <a:noFill/>
        <a:ln>
          <a:noFill/>
        </a:ln>
        <a:effectLst/>
      </c:spPr>
    </c:title>
    <c:autoTitleDeleted val="0"/>
    <c:plotArea>
      <c:layout/>
      <c:pieChart>
        <c:varyColors val="1"/>
        <c:ser>
          <c:idx val="0"/>
          <c:order val="0"/>
          <c:explosion val="25"/>
          <c:dPt>
            <c:idx val="0"/>
            <c:bubble3D val="0"/>
            <c:spPr>
              <a:solidFill>
                <a:schemeClr val="accent1">
                  <a:shade val="76667"/>
                </a:schemeClr>
              </a:solidFill>
              <a:ln>
                <a:noFill/>
              </a:ln>
              <a:effectLst/>
            </c:spPr>
            <c:extLst>
              <c:ext xmlns:c16="http://schemas.microsoft.com/office/drawing/2014/chart" uri="{C3380CC4-5D6E-409C-BE32-E72D297353CC}">
                <c16:uniqueId val="{00000001-C6D9-4474-A127-144538D08931}"/>
              </c:ext>
            </c:extLst>
          </c:dPt>
          <c:dPt>
            <c:idx val="1"/>
            <c:bubble3D val="0"/>
            <c:spPr>
              <a:solidFill>
                <a:schemeClr val="accent2">
                  <a:shade val="76667"/>
                </a:schemeClr>
              </a:solidFill>
              <a:ln>
                <a:noFill/>
              </a:ln>
              <a:effectLst/>
            </c:spPr>
            <c:extLst>
              <c:ext xmlns:c16="http://schemas.microsoft.com/office/drawing/2014/chart" uri="{C3380CC4-5D6E-409C-BE32-E72D297353CC}">
                <c16:uniqueId val="{00000003-C6D9-4474-A127-144538D08931}"/>
              </c:ext>
            </c:extLst>
          </c:dPt>
          <c:dPt>
            <c:idx val="2"/>
            <c:bubble3D val="0"/>
            <c:spPr>
              <a:solidFill>
                <a:schemeClr val="accent3">
                  <a:shade val="76667"/>
                </a:schemeClr>
              </a:solidFill>
              <a:ln>
                <a:noFill/>
              </a:ln>
              <a:effectLst/>
            </c:spPr>
            <c:extLst>
              <c:ext xmlns:c16="http://schemas.microsoft.com/office/drawing/2014/chart" uri="{C3380CC4-5D6E-409C-BE32-E72D297353CC}">
                <c16:uniqueId val="{00000005-C6D9-4474-A127-144538D08931}"/>
              </c:ext>
            </c:extLst>
          </c:dPt>
          <c:dPt>
            <c:idx val="3"/>
            <c:bubble3D val="0"/>
            <c:spPr>
              <a:solidFill>
                <a:schemeClr val="accent4">
                  <a:shade val="76667"/>
                </a:schemeClr>
              </a:solidFill>
              <a:ln>
                <a:noFill/>
              </a:ln>
              <a:effectLst/>
            </c:spPr>
            <c:extLst>
              <c:ext xmlns:c16="http://schemas.microsoft.com/office/drawing/2014/chart" uri="{C3380CC4-5D6E-409C-BE32-E72D297353CC}">
                <c16:uniqueId val="{00000007-C6D9-4474-A127-144538D08931}"/>
              </c:ext>
            </c:extLst>
          </c:dPt>
          <c:dPt>
            <c:idx val="4"/>
            <c:bubble3D val="0"/>
            <c:spPr>
              <a:solidFill>
                <a:schemeClr val="accent5">
                  <a:shade val="76667"/>
                </a:schemeClr>
              </a:solidFill>
              <a:ln>
                <a:noFill/>
              </a:ln>
              <a:effectLst/>
            </c:spPr>
            <c:extLst>
              <c:ext xmlns:c16="http://schemas.microsoft.com/office/drawing/2014/chart" uri="{C3380CC4-5D6E-409C-BE32-E72D297353CC}">
                <c16:uniqueId val="{00000009-C6D9-4474-A127-144538D08931}"/>
              </c:ext>
            </c:extLst>
          </c:dPt>
          <c:dPt>
            <c:idx val="5"/>
            <c:bubble3D val="0"/>
            <c:spPr>
              <a:solidFill>
                <a:schemeClr val="accent6">
                  <a:shade val="76667"/>
                </a:schemeClr>
              </a:solidFill>
              <a:ln>
                <a:noFill/>
              </a:ln>
              <a:effectLst/>
            </c:spPr>
            <c:extLst>
              <c:ext xmlns:c16="http://schemas.microsoft.com/office/drawing/2014/chart" uri="{C3380CC4-5D6E-409C-BE32-E72D297353CC}">
                <c16:uniqueId val="{0000000B-C6D9-4474-A127-144538D08931}"/>
              </c:ext>
            </c:extLst>
          </c:dPt>
          <c:dPt>
            <c:idx val="6"/>
            <c:bubble3D val="0"/>
            <c:spPr>
              <a:solidFill>
                <a:schemeClr val="accent1">
                  <a:tint val="76667"/>
                </a:schemeClr>
              </a:solidFill>
              <a:ln>
                <a:noFill/>
              </a:ln>
              <a:effectLst/>
            </c:spPr>
            <c:extLst>
              <c:ext xmlns:c16="http://schemas.microsoft.com/office/drawing/2014/chart" uri="{C3380CC4-5D6E-409C-BE32-E72D297353CC}">
                <c16:uniqueId val="{0000000D-C6D9-4474-A127-144538D08931}"/>
              </c:ext>
            </c:extLst>
          </c:dPt>
          <c:dPt>
            <c:idx val="7"/>
            <c:bubble3D val="0"/>
            <c:spPr>
              <a:solidFill>
                <a:schemeClr val="accent2">
                  <a:tint val="76667"/>
                </a:schemeClr>
              </a:solidFill>
              <a:ln>
                <a:noFill/>
              </a:ln>
              <a:effectLst/>
            </c:spPr>
            <c:extLst>
              <c:ext xmlns:c16="http://schemas.microsoft.com/office/drawing/2014/chart" uri="{C3380CC4-5D6E-409C-BE32-E72D297353CC}">
                <c16:uniqueId val="{0000000F-C6D9-4474-A127-144538D08931}"/>
              </c:ext>
            </c:extLst>
          </c:dPt>
          <c:dPt>
            <c:idx val="8"/>
            <c:bubble3D val="0"/>
            <c:spPr>
              <a:solidFill>
                <a:schemeClr val="accent3">
                  <a:tint val="76667"/>
                </a:schemeClr>
              </a:solidFill>
              <a:ln>
                <a:noFill/>
              </a:ln>
              <a:effectLst/>
            </c:spPr>
            <c:extLst>
              <c:ext xmlns:c16="http://schemas.microsoft.com/office/drawing/2014/chart" uri="{C3380CC4-5D6E-409C-BE32-E72D297353CC}">
                <c16:uniqueId val="{00000011-C6D9-4474-A127-144538D08931}"/>
              </c:ext>
            </c:extLst>
          </c:dPt>
          <c:dPt>
            <c:idx val="9"/>
            <c:bubble3D val="0"/>
            <c:spPr>
              <a:solidFill>
                <a:schemeClr val="accent4">
                  <a:tint val="76667"/>
                </a:schemeClr>
              </a:solidFill>
              <a:ln>
                <a:noFill/>
              </a:ln>
              <a:effectLst/>
            </c:spPr>
            <c:extLst>
              <c:ext xmlns:c16="http://schemas.microsoft.com/office/drawing/2014/chart" uri="{C3380CC4-5D6E-409C-BE32-E72D297353CC}">
                <c16:uniqueId val="{00000013-C6D9-4474-A127-144538D08931}"/>
              </c:ext>
            </c:extLst>
          </c:dPt>
          <c:dPt>
            <c:idx val="10"/>
            <c:bubble3D val="0"/>
            <c:spPr>
              <a:solidFill>
                <a:schemeClr val="accent5">
                  <a:tint val="76667"/>
                </a:schemeClr>
              </a:solidFill>
              <a:ln>
                <a:noFill/>
              </a:ln>
              <a:effectLst/>
            </c:spPr>
            <c:extLst>
              <c:ext xmlns:c16="http://schemas.microsoft.com/office/drawing/2014/chart" uri="{C3380CC4-5D6E-409C-BE32-E72D297353CC}">
                <c16:uniqueId val="{00000015-C6D9-4474-A127-144538D08931}"/>
              </c:ext>
            </c:extLst>
          </c:dPt>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bestFit"/>
            <c:showLegendKey val="0"/>
            <c:showVal val="0"/>
            <c:showCatName val="1"/>
            <c:showSerName val="0"/>
            <c:showPercent val="1"/>
            <c:showBubbleSize val="0"/>
            <c:separator>
</c:separator>
            <c:showLeaderLines val="1"/>
            <c:leaderLines>
              <c:spPr>
                <a:ln w="9525" cap="flat" cmpd="sng" algn="ctr">
                  <a:solidFill>
                    <a:schemeClr val="tx1"/>
                  </a:solidFill>
                  <a:prstDash val="solid"/>
                </a:ln>
                <a:effectLst/>
              </c:spPr>
            </c:leaderLines>
            <c:extLst>
              <c:ext xmlns:c15="http://schemas.microsoft.com/office/drawing/2012/chart" uri="{CE6537A1-D6FC-4f65-9D91-7224C49458BB}"/>
            </c:extLst>
          </c:dLbls>
          <c:cat>
            <c:strRef>
              <c:f>'Areas por Regional'!$B$3:$B$13</c:f>
              <c:strCache>
                <c:ptCount val="11"/>
                <c:pt idx="0">
                  <c:v>Altiplano Central</c:v>
                </c:pt>
                <c:pt idx="1">
                  <c:v>Altiplano Occidental</c:v>
                </c:pt>
                <c:pt idx="2">
                  <c:v>Metropolitana</c:v>
                </c:pt>
                <c:pt idx="3">
                  <c:v>Costa Sur</c:v>
                </c:pt>
                <c:pt idx="4">
                  <c:v>Noroccidente</c:v>
                </c:pt>
                <c:pt idx="5">
                  <c:v>Nororiente</c:v>
                </c:pt>
                <c:pt idx="6">
                  <c:v>Oriente</c:v>
                </c:pt>
                <c:pt idx="7">
                  <c:v>Petén</c:v>
                </c:pt>
                <c:pt idx="8">
                  <c:v>Suroriente</c:v>
                </c:pt>
                <c:pt idx="9">
                  <c:v>Verapaces</c:v>
                </c:pt>
                <c:pt idx="10">
                  <c:v>Verapaces, Nororiente, Oriente</c:v>
                </c:pt>
              </c:strCache>
            </c:strRef>
          </c:cat>
          <c:val>
            <c:numRef>
              <c:f>'Areas por Regional'!$C$3:$C$13</c:f>
              <c:numCache>
                <c:formatCode>General</c:formatCode>
                <c:ptCount val="11"/>
                <c:pt idx="0">
                  <c:v>28</c:v>
                </c:pt>
                <c:pt idx="1">
                  <c:v>38</c:v>
                </c:pt>
                <c:pt idx="2">
                  <c:v>27</c:v>
                </c:pt>
                <c:pt idx="3">
                  <c:v>23</c:v>
                </c:pt>
                <c:pt idx="4">
                  <c:v>24</c:v>
                </c:pt>
                <c:pt idx="5">
                  <c:v>43</c:v>
                </c:pt>
                <c:pt idx="6">
                  <c:v>32</c:v>
                </c:pt>
                <c:pt idx="7">
                  <c:v>63</c:v>
                </c:pt>
                <c:pt idx="8">
                  <c:v>27</c:v>
                </c:pt>
                <c:pt idx="9">
                  <c:v>43</c:v>
                </c:pt>
                <c:pt idx="10">
                  <c:v>1</c:v>
                </c:pt>
              </c:numCache>
            </c:numRef>
          </c:val>
          <c:extLst>
            <c:ext xmlns:c16="http://schemas.microsoft.com/office/drawing/2014/chart" uri="{C3380CC4-5D6E-409C-BE32-E72D297353CC}">
              <c16:uniqueId val="{00000016-C6D9-4474-A127-144538D08931}"/>
            </c:ext>
          </c:extLst>
        </c:ser>
        <c:ser>
          <c:idx val="1"/>
          <c:order val="1"/>
          <c:explosion val="25"/>
          <c:dPt>
            <c:idx val="0"/>
            <c:bubble3D val="0"/>
            <c:spPr>
              <a:solidFill>
                <a:schemeClr val="accent1">
                  <a:shade val="76667"/>
                </a:schemeClr>
              </a:solidFill>
              <a:ln>
                <a:noFill/>
              </a:ln>
              <a:effectLst/>
            </c:spPr>
            <c:extLst>
              <c:ext xmlns:c16="http://schemas.microsoft.com/office/drawing/2014/chart" uri="{C3380CC4-5D6E-409C-BE32-E72D297353CC}">
                <c16:uniqueId val="{00000018-C6D9-4474-A127-144538D08931}"/>
              </c:ext>
            </c:extLst>
          </c:dPt>
          <c:dPt>
            <c:idx val="1"/>
            <c:bubble3D val="0"/>
            <c:spPr>
              <a:solidFill>
                <a:schemeClr val="accent2">
                  <a:shade val="76667"/>
                </a:schemeClr>
              </a:solidFill>
              <a:ln>
                <a:noFill/>
              </a:ln>
              <a:effectLst/>
            </c:spPr>
            <c:extLst>
              <c:ext xmlns:c16="http://schemas.microsoft.com/office/drawing/2014/chart" uri="{C3380CC4-5D6E-409C-BE32-E72D297353CC}">
                <c16:uniqueId val="{0000001A-C6D9-4474-A127-144538D08931}"/>
              </c:ext>
            </c:extLst>
          </c:dPt>
          <c:dPt>
            <c:idx val="2"/>
            <c:bubble3D val="0"/>
            <c:spPr>
              <a:solidFill>
                <a:schemeClr val="accent3">
                  <a:shade val="76667"/>
                </a:schemeClr>
              </a:solidFill>
              <a:ln>
                <a:noFill/>
              </a:ln>
              <a:effectLst/>
            </c:spPr>
            <c:extLst>
              <c:ext xmlns:c16="http://schemas.microsoft.com/office/drawing/2014/chart" uri="{C3380CC4-5D6E-409C-BE32-E72D297353CC}">
                <c16:uniqueId val="{0000001C-C6D9-4474-A127-144538D08931}"/>
              </c:ext>
            </c:extLst>
          </c:dPt>
          <c:dPt>
            <c:idx val="3"/>
            <c:bubble3D val="0"/>
            <c:spPr>
              <a:solidFill>
                <a:schemeClr val="accent4">
                  <a:shade val="76667"/>
                </a:schemeClr>
              </a:solidFill>
              <a:ln>
                <a:noFill/>
              </a:ln>
              <a:effectLst/>
            </c:spPr>
            <c:extLst>
              <c:ext xmlns:c16="http://schemas.microsoft.com/office/drawing/2014/chart" uri="{C3380CC4-5D6E-409C-BE32-E72D297353CC}">
                <c16:uniqueId val="{0000001E-C6D9-4474-A127-144538D08931}"/>
              </c:ext>
            </c:extLst>
          </c:dPt>
          <c:dPt>
            <c:idx val="4"/>
            <c:bubble3D val="0"/>
            <c:spPr>
              <a:solidFill>
                <a:schemeClr val="accent5">
                  <a:shade val="76667"/>
                </a:schemeClr>
              </a:solidFill>
              <a:ln>
                <a:noFill/>
              </a:ln>
              <a:effectLst/>
            </c:spPr>
            <c:extLst>
              <c:ext xmlns:c16="http://schemas.microsoft.com/office/drawing/2014/chart" uri="{C3380CC4-5D6E-409C-BE32-E72D297353CC}">
                <c16:uniqueId val="{00000020-C6D9-4474-A127-144538D08931}"/>
              </c:ext>
            </c:extLst>
          </c:dPt>
          <c:dPt>
            <c:idx val="5"/>
            <c:bubble3D val="0"/>
            <c:spPr>
              <a:solidFill>
                <a:schemeClr val="accent6">
                  <a:shade val="76667"/>
                </a:schemeClr>
              </a:solidFill>
              <a:ln>
                <a:noFill/>
              </a:ln>
              <a:effectLst/>
            </c:spPr>
            <c:extLst>
              <c:ext xmlns:c16="http://schemas.microsoft.com/office/drawing/2014/chart" uri="{C3380CC4-5D6E-409C-BE32-E72D297353CC}">
                <c16:uniqueId val="{00000022-C6D9-4474-A127-144538D08931}"/>
              </c:ext>
            </c:extLst>
          </c:dPt>
          <c:dPt>
            <c:idx val="6"/>
            <c:bubble3D val="0"/>
            <c:spPr>
              <a:solidFill>
                <a:schemeClr val="accent1">
                  <a:tint val="76667"/>
                </a:schemeClr>
              </a:solidFill>
              <a:ln>
                <a:noFill/>
              </a:ln>
              <a:effectLst/>
            </c:spPr>
            <c:extLst>
              <c:ext xmlns:c16="http://schemas.microsoft.com/office/drawing/2014/chart" uri="{C3380CC4-5D6E-409C-BE32-E72D297353CC}">
                <c16:uniqueId val="{00000024-C6D9-4474-A127-144538D08931}"/>
              </c:ext>
            </c:extLst>
          </c:dPt>
          <c:dPt>
            <c:idx val="7"/>
            <c:bubble3D val="0"/>
            <c:spPr>
              <a:solidFill>
                <a:schemeClr val="accent2">
                  <a:tint val="76667"/>
                </a:schemeClr>
              </a:solidFill>
              <a:ln>
                <a:noFill/>
              </a:ln>
              <a:effectLst/>
            </c:spPr>
            <c:extLst>
              <c:ext xmlns:c16="http://schemas.microsoft.com/office/drawing/2014/chart" uri="{C3380CC4-5D6E-409C-BE32-E72D297353CC}">
                <c16:uniqueId val="{00000026-C6D9-4474-A127-144538D08931}"/>
              </c:ext>
            </c:extLst>
          </c:dPt>
          <c:dPt>
            <c:idx val="8"/>
            <c:bubble3D val="0"/>
            <c:spPr>
              <a:solidFill>
                <a:schemeClr val="accent3">
                  <a:tint val="76667"/>
                </a:schemeClr>
              </a:solidFill>
              <a:ln>
                <a:noFill/>
              </a:ln>
              <a:effectLst/>
            </c:spPr>
            <c:extLst>
              <c:ext xmlns:c16="http://schemas.microsoft.com/office/drawing/2014/chart" uri="{C3380CC4-5D6E-409C-BE32-E72D297353CC}">
                <c16:uniqueId val="{00000028-C6D9-4474-A127-144538D08931}"/>
              </c:ext>
            </c:extLst>
          </c:dPt>
          <c:dPt>
            <c:idx val="9"/>
            <c:bubble3D val="0"/>
            <c:spPr>
              <a:solidFill>
                <a:schemeClr val="accent4">
                  <a:tint val="76667"/>
                </a:schemeClr>
              </a:solidFill>
              <a:ln>
                <a:noFill/>
              </a:ln>
              <a:effectLst/>
            </c:spPr>
            <c:extLst>
              <c:ext xmlns:c16="http://schemas.microsoft.com/office/drawing/2014/chart" uri="{C3380CC4-5D6E-409C-BE32-E72D297353CC}">
                <c16:uniqueId val="{0000002A-C6D9-4474-A127-144538D08931}"/>
              </c:ext>
            </c:extLst>
          </c:dPt>
          <c:dPt>
            <c:idx val="10"/>
            <c:bubble3D val="0"/>
            <c:spPr>
              <a:solidFill>
                <a:schemeClr val="accent5">
                  <a:tint val="76667"/>
                </a:schemeClr>
              </a:solidFill>
              <a:ln>
                <a:noFill/>
              </a:ln>
              <a:effectLst/>
            </c:spPr>
            <c:extLst>
              <c:ext xmlns:c16="http://schemas.microsoft.com/office/drawing/2014/chart" uri="{C3380CC4-5D6E-409C-BE32-E72D297353CC}">
                <c16:uniqueId val="{0000002C-C6D9-4474-A127-144538D08931}"/>
              </c:ext>
            </c:extLst>
          </c:dPt>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bestFit"/>
            <c:showLegendKey val="0"/>
            <c:showVal val="0"/>
            <c:showCatName val="1"/>
            <c:showSerName val="0"/>
            <c:showPercent val="1"/>
            <c:showBubbleSize val="0"/>
            <c:separator>
</c:separator>
            <c:showLeaderLines val="1"/>
            <c:leaderLines>
              <c:spPr>
                <a:ln w="9525" cap="flat" cmpd="sng" algn="ctr">
                  <a:solidFill>
                    <a:schemeClr val="tx1"/>
                  </a:solidFill>
                  <a:prstDash val="solid"/>
                </a:ln>
                <a:effectLst/>
              </c:spPr>
            </c:leaderLines>
            <c:extLst>
              <c:ext xmlns:c15="http://schemas.microsoft.com/office/drawing/2012/chart" uri="{CE6537A1-D6FC-4f65-9D91-7224C49458BB}"/>
            </c:extLst>
          </c:dLbls>
          <c:cat>
            <c:strRef>
              <c:f>'Areas por Regional'!$B$3:$B$13</c:f>
              <c:strCache>
                <c:ptCount val="11"/>
                <c:pt idx="0">
                  <c:v>Altiplano Central</c:v>
                </c:pt>
                <c:pt idx="1">
                  <c:v>Altiplano Occidental</c:v>
                </c:pt>
                <c:pt idx="2">
                  <c:v>Metropolitana</c:v>
                </c:pt>
                <c:pt idx="3">
                  <c:v>Costa Sur</c:v>
                </c:pt>
                <c:pt idx="4">
                  <c:v>Noroccidente</c:v>
                </c:pt>
                <c:pt idx="5">
                  <c:v>Nororiente</c:v>
                </c:pt>
                <c:pt idx="6">
                  <c:v>Oriente</c:v>
                </c:pt>
                <c:pt idx="7">
                  <c:v>Petén</c:v>
                </c:pt>
                <c:pt idx="8">
                  <c:v>Suroriente</c:v>
                </c:pt>
                <c:pt idx="9">
                  <c:v>Verapaces</c:v>
                </c:pt>
                <c:pt idx="10">
                  <c:v>Verapaces, Nororiente, Oriente</c:v>
                </c:pt>
              </c:strCache>
            </c:strRef>
          </c:cat>
          <c:val>
            <c:numRef>
              <c:f>'Areas por Regional'!$D$3:$D$13</c:f>
              <c:numCache>
                <c:formatCode>#,##0.00</c:formatCode>
                <c:ptCount val="11"/>
                <c:pt idx="0">
                  <c:v>125882.76000000001</c:v>
                </c:pt>
                <c:pt idx="1">
                  <c:v>61053.943599999999</c:v>
                </c:pt>
                <c:pt idx="2">
                  <c:v>27069.787000000008</c:v>
                </c:pt>
                <c:pt idx="3">
                  <c:v>7910.3611830000018</c:v>
                </c:pt>
                <c:pt idx="4">
                  <c:v>57093.56205</c:v>
                </c:pt>
                <c:pt idx="5">
                  <c:v>298492.78700000001</c:v>
                </c:pt>
                <c:pt idx="6">
                  <c:v>28354.458499999997</c:v>
                </c:pt>
                <c:pt idx="7">
                  <c:v>2574961.3499999992</c:v>
                </c:pt>
                <c:pt idx="8">
                  <c:v>25844.428</c:v>
                </c:pt>
                <c:pt idx="9">
                  <c:v>24023.734757999999</c:v>
                </c:pt>
                <c:pt idx="10">
                  <c:v>240536.82</c:v>
                </c:pt>
              </c:numCache>
            </c:numRef>
          </c:val>
          <c:extLst>
            <c:ext xmlns:c16="http://schemas.microsoft.com/office/drawing/2014/chart" uri="{C3380CC4-5D6E-409C-BE32-E72D297353CC}">
              <c16:uniqueId val="{0000002D-C6D9-4474-A127-144538D08931}"/>
            </c:ext>
          </c:extLst>
        </c:ser>
        <c:ser>
          <c:idx val="2"/>
          <c:order val="2"/>
          <c:explosion val="25"/>
          <c:dPt>
            <c:idx val="0"/>
            <c:bubble3D val="0"/>
            <c:spPr>
              <a:solidFill>
                <a:schemeClr val="accent1">
                  <a:shade val="76667"/>
                </a:schemeClr>
              </a:solidFill>
              <a:ln>
                <a:noFill/>
              </a:ln>
              <a:effectLst/>
            </c:spPr>
            <c:extLst>
              <c:ext xmlns:c16="http://schemas.microsoft.com/office/drawing/2014/chart" uri="{C3380CC4-5D6E-409C-BE32-E72D297353CC}">
                <c16:uniqueId val="{0000002F-C6D9-4474-A127-144538D08931}"/>
              </c:ext>
            </c:extLst>
          </c:dPt>
          <c:dPt>
            <c:idx val="1"/>
            <c:bubble3D val="0"/>
            <c:spPr>
              <a:solidFill>
                <a:schemeClr val="accent2">
                  <a:shade val="76667"/>
                </a:schemeClr>
              </a:solidFill>
              <a:ln>
                <a:noFill/>
              </a:ln>
              <a:effectLst/>
            </c:spPr>
            <c:extLst>
              <c:ext xmlns:c16="http://schemas.microsoft.com/office/drawing/2014/chart" uri="{C3380CC4-5D6E-409C-BE32-E72D297353CC}">
                <c16:uniqueId val="{00000031-C6D9-4474-A127-144538D08931}"/>
              </c:ext>
            </c:extLst>
          </c:dPt>
          <c:dPt>
            <c:idx val="2"/>
            <c:bubble3D val="0"/>
            <c:spPr>
              <a:solidFill>
                <a:schemeClr val="accent3">
                  <a:shade val="76667"/>
                </a:schemeClr>
              </a:solidFill>
              <a:ln>
                <a:noFill/>
              </a:ln>
              <a:effectLst/>
            </c:spPr>
            <c:extLst>
              <c:ext xmlns:c16="http://schemas.microsoft.com/office/drawing/2014/chart" uri="{C3380CC4-5D6E-409C-BE32-E72D297353CC}">
                <c16:uniqueId val="{00000033-C6D9-4474-A127-144538D08931}"/>
              </c:ext>
            </c:extLst>
          </c:dPt>
          <c:dPt>
            <c:idx val="3"/>
            <c:bubble3D val="0"/>
            <c:spPr>
              <a:solidFill>
                <a:schemeClr val="accent4">
                  <a:shade val="76667"/>
                </a:schemeClr>
              </a:solidFill>
              <a:ln>
                <a:noFill/>
              </a:ln>
              <a:effectLst/>
            </c:spPr>
            <c:extLst>
              <c:ext xmlns:c16="http://schemas.microsoft.com/office/drawing/2014/chart" uri="{C3380CC4-5D6E-409C-BE32-E72D297353CC}">
                <c16:uniqueId val="{00000035-C6D9-4474-A127-144538D08931}"/>
              </c:ext>
            </c:extLst>
          </c:dPt>
          <c:dPt>
            <c:idx val="4"/>
            <c:bubble3D val="0"/>
            <c:spPr>
              <a:solidFill>
                <a:schemeClr val="accent5">
                  <a:shade val="76667"/>
                </a:schemeClr>
              </a:solidFill>
              <a:ln>
                <a:noFill/>
              </a:ln>
              <a:effectLst/>
            </c:spPr>
            <c:extLst>
              <c:ext xmlns:c16="http://schemas.microsoft.com/office/drawing/2014/chart" uri="{C3380CC4-5D6E-409C-BE32-E72D297353CC}">
                <c16:uniqueId val="{00000037-C6D9-4474-A127-144538D08931}"/>
              </c:ext>
            </c:extLst>
          </c:dPt>
          <c:dPt>
            <c:idx val="5"/>
            <c:bubble3D val="0"/>
            <c:spPr>
              <a:solidFill>
                <a:schemeClr val="accent6">
                  <a:shade val="76667"/>
                </a:schemeClr>
              </a:solidFill>
              <a:ln>
                <a:noFill/>
              </a:ln>
              <a:effectLst/>
            </c:spPr>
            <c:extLst>
              <c:ext xmlns:c16="http://schemas.microsoft.com/office/drawing/2014/chart" uri="{C3380CC4-5D6E-409C-BE32-E72D297353CC}">
                <c16:uniqueId val="{00000039-C6D9-4474-A127-144538D08931}"/>
              </c:ext>
            </c:extLst>
          </c:dPt>
          <c:dPt>
            <c:idx val="6"/>
            <c:bubble3D val="0"/>
            <c:spPr>
              <a:solidFill>
                <a:schemeClr val="accent1">
                  <a:tint val="76667"/>
                </a:schemeClr>
              </a:solidFill>
              <a:ln>
                <a:noFill/>
              </a:ln>
              <a:effectLst/>
            </c:spPr>
            <c:extLst>
              <c:ext xmlns:c16="http://schemas.microsoft.com/office/drawing/2014/chart" uri="{C3380CC4-5D6E-409C-BE32-E72D297353CC}">
                <c16:uniqueId val="{0000003B-C6D9-4474-A127-144538D08931}"/>
              </c:ext>
            </c:extLst>
          </c:dPt>
          <c:dPt>
            <c:idx val="7"/>
            <c:bubble3D val="0"/>
            <c:spPr>
              <a:solidFill>
                <a:schemeClr val="accent2">
                  <a:tint val="76667"/>
                </a:schemeClr>
              </a:solidFill>
              <a:ln>
                <a:noFill/>
              </a:ln>
              <a:effectLst/>
            </c:spPr>
            <c:extLst>
              <c:ext xmlns:c16="http://schemas.microsoft.com/office/drawing/2014/chart" uri="{C3380CC4-5D6E-409C-BE32-E72D297353CC}">
                <c16:uniqueId val="{0000003D-C6D9-4474-A127-144538D08931}"/>
              </c:ext>
            </c:extLst>
          </c:dPt>
          <c:dPt>
            <c:idx val="8"/>
            <c:bubble3D val="0"/>
            <c:spPr>
              <a:solidFill>
                <a:schemeClr val="accent3">
                  <a:tint val="76667"/>
                </a:schemeClr>
              </a:solidFill>
              <a:ln>
                <a:noFill/>
              </a:ln>
              <a:effectLst/>
            </c:spPr>
            <c:extLst>
              <c:ext xmlns:c16="http://schemas.microsoft.com/office/drawing/2014/chart" uri="{C3380CC4-5D6E-409C-BE32-E72D297353CC}">
                <c16:uniqueId val="{0000003F-C6D9-4474-A127-144538D08931}"/>
              </c:ext>
            </c:extLst>
          </c:dPt>
          <c:dPt>
            <c:idx val="9"/>
            <c:bubble3D val="0"/>
            <c:spPr>
              <a:solidFill>
                <a:schemeClr val="accent4">
                  <a:tint val="76667"/>
                </a:schemeClr>
              </a:solidFill>
              <a:ln>
                <a:noFill/>
              </a:ln>
              <a:effectLst/>
            </c:spPr>
            <c:extLst>
              <c:ext xmlns:c16="http://schemas.microsoft.com/office/drawing/2014/chart" uri="{C3380CC4-5D6E-409C-BE32-E72D297353CC}">
                <c16:uniqueId val="{00000041-C6D9-4474-A127-144538D08931}"/>
              </c:ext>
            </c:extLst>
          </c:dPt>
          <c:dPt>
            <c:idx val="10"/>
            <c:bubble3D val="0"/>
            <c:spPr>
              <a:solidFill>
                <a:schemeClr val="accent5">
                  <a:tint val="76667"/>
                </a:schemeClr>
              </a:solidFill>
              <a:ln>
                <a:noFill/>
              </a:ln>
              <a:effectLst/>
            </c:spPr>
            <c:extLst>
              <c:ext xmlns:c16="http://schemas.microsoft.com/office/drawing/2014/chart" uri="{C3380CC4-5D6E-409C-BE32-E72D297353CC}">
                <c16:uniqueId val="{00000043-C6D9-4474-A127-144538D08931}"/>
              </c:ext>
            </c:extLst>
          </c:dPt>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bestFit"/>
            <c:showLegendKey val="0"/>
            <c:showVal val="0"/>
            <c:showCatName val="1"/>
            <c:showSerName val="0"/>
            <c:showPercent val="1"/>
            <c:showBubbleSize val="0"/>
            <c:separator>
</c:separator>
            <c:showLeaderLines val="1"/>
            <c:leaderLines>
              <c:spPr>
                <a:ln w="9525" cap="flat" cmpd="sng" algn="ctr">
                  <a:solidFill>
                    <a:schemeClr val="tx1"/>
                  </a:solidFill>
                  <a:prstDash val="solid"/>
                </a:ln>
                <a:effectLst/>
              </c:spPr>
            </c:leaderLines>
            <c:extLst>
              <c:ext xmlns:c15="http://schemas.microsoft.com/office/drawing/2012/chart" uri="{CE6537A1-D6FC-4f65-9D91-7224C49458BB}"/>
            </c:extLst>
          </c:dLbls>
          <c:cat>
            <c:strRef>
              <c:f>'Areas por Regional'!$B$3:$B$13</c:f>
              <c:strCache>
                <c:ptCount val="11"/>
                <c:pt idx="0">
                  <c:v>Altiplano Central</c:v>
                </c:pt>
                <c:pt idx="1">
                  <c:v>Altiplano Occidental</c:v>
                </c:pt>
                <c:pt idx="2">
                  <c:v>Metropolitana</c:v>
                </c:pt>
                <c:pt idx="3">
                  <c:v>Costa Sur</c:v>
                </c:pt>
                <c:pt idx="4">
                  <c:v>Noroccidente</c:v>
                </c:pt>
                <c:pt idx="5">
                  <c:v>Nororiente</c:v>
                </c:pt>
                <c:pt idx="6">
                  <c:v>Oriente</c:v>
                </c:pt>
                <c:pt idx="7">
                  <c:v>Petén</c:v>
                </c:pt>
                <c:pt idx="8">
                  <c:v>Suroriente</c:v>
                </c:pt>
                <c:pt idx="9">
                  <c:v>Verapaces</c:v>
                </c:pt>
                <c:pt idx="10">
                  <c:v>Verapaces, Nororiente, Oriente</c:v>
                </c:pt>
              </c:strCache>
            </c:strRef>
          </c:cat>
          <c:val>
            <c:numRef>
              <c:f>'Areas por Regional'!$E$3:$E$13</c:f>
              <c:numCache>
                <c:formatCode>0.00</c:formatCode>
                <c:ptCount val="11"/>
                <c:pt idx="0">
                  <c:v>3.6264660617354929</c:v>
                </c:pt>
                <c:pt idx="1">
                  <c:v>1.7588592306088053</c:v>
                </c:pt>
                <c:pt idx="2">
                  <c:v>0.77983406031063085</c:v>
                </c:pt>
                <c:pt idx="3">
                  <c:v>0.22788391648085354</c:v>
                </c:pt>
                <c:pt idx="4">
                  <c:v>1.644767441688715</c:v>
                </c:pt>
                <c:pt idx="5">
                  <c:v>8.599064413016853</c:v>
                </c:pt>
                <c:pt idx="6">
                  <c:v>0.81684323928977609</c:v>
                </c:pt>
                <c:pt idx="7">
                  <c:v>74.180212970033423</c:v>
                </c:pt>
                <c:pt idx="8">
                  <c:v>0.74453357256360198</c:v>
                </c:pt>
                <c:pt idx="9">
                  <c:v>0.69208252802863812</c:v>
                </c:pt>
                <c:pt idx="10">
                  <c:v>6.929452566243218</c:v>
                </c:pt>
              </c:numCache>
            </c:numRef>
          </c:val>
          <c:extLst>
            <c:ext xmlns:c16="http://schemas.microsoft.com/office/drawing/2014/chart" uri="{C3380CC4-5D6E-409C-BE32-E72D297353CC}">
              <c16:uniqueId val="{00000044-C6D9-4474-A127-144538D08931}"/>
            </c:ext>
          </c:extLst>
        </c:ser>
        <c:dLbls>
          <c:dLblPos val="bestFit"/>
          <c:showLegendKey val="0"/>
          <c:showVal val="0"/>
          <c:showCatName val="1"/>
          <c:showSerName val="0"/>
          <c:showPercent val="1"/>
          <c:showBubbleSize val="0"/>
          <c:showLeaderLines val="1"/>
        </c:dLbls>
        <c:firstSliceAng val="0"/>
      </c:pieChart>
      <c:spPr>
        <a:ln>
          <a:noFill/>
        </a:ln>
        <a:effectLst/>
      </c:spPr>
    </c:plotArea>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lang="es-ES" sz="1800" b="1" i="0" u="none" strike="noStrike" kern="1200" baseline="0">
                <a:solidFill>
                  <a:schemeClr val="dk1">
                    <a:lumMod val="75000"/>
                    <a:lumOff val="25000"/>
                  </a:schemeClr>
                </a:solidFill>
                <a:latin typeface="+mn-lt"/>
                <a:ea typeface="+mn-ea"/>
                <a:cs typeface="+mn-cs"/>
              </a:defRPr>
            </a:pPr>
            <a:r>
              <a:rPr lang="es-GT"/>
              <a:t>Registro Histórico del Número de Áreas Protegidas 1955-2019</a:t>
            </a:r>
          </a:p>
        </c:rich>
      </c:tx>
      <c:overlay val="0"/>
      <c:spPr>
        <a:noFill/>
        <a:ln>
          <a:noFill/>
        </a:ln>
        <a:effectLst/>
      </c:spPr>
      <c:txPr>
        <a:bodyPr rot="0" spcFirstLastPara="1" vertOverflow="ellipsis" vert="horz" wrap="square" anchor="ctr" anchorCtr="1"/>
        <a:lstStyle/>
        <a:p>
          <a:pPr algn="ctr">
            <a:defRPr lang="es-ES" sz="1800" b="1" i="0" u="none" strike="noStrike" kern="1200" baseline="0">
              <a:solidFill>
                <a:schemeClr val="dk1">
                  <a:lumMod val="75000"/>
                  <a:lumOff val="25000"/>
                </a:schemeClr>
              </a:solidFill>
              <a:latin typeface="+mn-lt"/>
              <a:ea typeface="+mn-ea"/>
              <a:cs typeface="+mn-cs"/>
            </a:defRPr>
          </a:pPr>
          <a:endParaRPr lang="es-MX"/>
        </a:p>
      </c:txPr>
    </c:title>
    <c:autoTitleDeleted val="0"/>
    <c:plotArea>
      <c:layout/>
      <c:barChart>
        <c:barDir val="col"/>
        <c:grouping val="stacked"/>
        <c:varyColors val="0"/>
        <c:ser>
          <c:idx val="0"/>
          <c:order val="0"/>
          <c:tx>
            <c:strRef>
              <c:f>'Registro Histórico 1955-2017'!$D$46</c:f>
              <c:strCache>
                <c:ptCount val="1"/>
                <c:pt idx="0">
                  <c:v>No. De Áreas</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horzOverflow="overflow" vert="horz" wrap="square" lIns="38100" tIns="19050" rIns="38100" bIns="19050" anchor="ctr" anchorCtr="1">
                <a:spAutoFit/>
              </a:bodyPr>
              <a:lstStyle/>
              <a:p>
                <a:pPr>
                  <a:defRPr lang="es-ES" sz="900" b="1" i="0" u="none" strike="noStrike" kern="1200" baseline="0">
                    <a:solidFill>
                      <a:schemeClr val="lt1"/>
                    </a:solidFill>
                    <a:latin typeface="+mn-lt"/>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'Registro Histórico 1955-2017'!$B$47:$B$82</c:f>
              <c:numCache>
                <c:formatCode>General</c:formatCode>
                <c:ptCount val="36"/>
                <c:pt idx="0">
                  <c:v>1955</c:v>
                </c:pt>
                <c:pt idx="1">
                  <c:v>1956</c:v>
                </c:pt>
                <c:pt idx="2">
                  <c:v>1964</c:v>
                </c:pt>
                <c:pt idx="3">
                  <c:v>1969</c:v>
                </c:pt>
                <c:pt idx="4">
                  <c:v>1970</c:v>
                </c:pt>
                <c:pt idx="5">
                  <c:v>1972</c:v>
                </c:pt>
                <c:pt idx="6">
                  <c:v>1976</c:v>
                </c:pt>
                <c:pt idx="7">
                  <c:v>1977</c:v>
                </c:pt>
                <c:pt idx="8">
                  <c:v>1980</c:v>
                </c:pt>
                <c:pt idx="9">
                  <c:v>1987</c:v>
                </c:pt>
                <c:pt idx="10">
                  <c:v>1989</c:v>
                </c:pt>
                <c:pt idx="11">
                  <c:v>1990</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numCache>
            </c:numRef>
          </c:cat>
          <c:val>
            <c:numRef>
              <c:f>'Registro Histórico 1955-2017'!$D$47:$D$82</c:f>
              <c:numCache>
                <c:formatCode>General</c:formatCode>
                <c:ptCount val="36"/>
                <c:pt idx="0">
                  <c:v>10</c:v>
                </c:pt>
                <c:pt idx="1">
                  <c:v>31</c:v>
                </c:pt>
                <c:pt idx="2">
                  <c:v>2</c:v>
                </c:pt>
                <c:pt idx="3">
                  <c:v>1</c:v>
                </c:pt>
                <c:pt idx="4">
                  <c:v>0</c:v>
                </c:pt>
                <c:pt idx="5">
                  <c:v>1</c:v>
                </c:pt>
                <c:pt idx="6">
                  <c:v>0</c:v>
                </c:pt>
                <c:pt idx="7">
                  <c:v>2</c:v>
                </c:pt>
                <c:pt idx="8">
                  <c:v>2</c:v>
                </c:pt>
                <c:pt idx="9">
                  <c:v>1</c:v>
                </c:pt>
                <c:pt idx="10">
                  <c:v>1</c:v>
                </c:pt>
                <c:pt idx="11">
                  <c:v>9</c:v>
                </c:pt>
                <c:pt idx="12">
                  <c:v>13</c:v>
                </c:pt>
                <c:pt idx="13">
                  <c:v>8</c:v>
                </c:pt>
                <c:pt idx="14">
                  <c:v>6</c:v>
                </c:pt>
                <c:pt idx="15">
                  <c:v>3</c:v>
                </c:pt>
                <c:pt idx="16">
                  <c:v>3</c:v>
                </c:pt>
                <c:pt idx="17">
                  <c:v>3</c:v>
                </c:pt>
                <c:pt idx="18">
                  <c:v>22</c:v>
                </c:pt>
                <c:pt idx="19">
                  <c:v>16</c:v>
                </c:pt>
                <c:pt idx="20">
                  <c:v>4</c:v>
                </c:pt>
                <c:pt idx="21">
                  <c:v>5</c:v>
                </c:pt>
                <c:pt idx="22">
                  <c:v>9</c:v>
                </c:pt>
                <c:pt idx="23">
                  <c:v>38</c:v>
                </c:pt>
                <c:pt idx="24">
                  <c:v>36</c:v>
                </c:pt>
                <c:pt idx="25">
                  <c:v>20</c:v>
                </c:pt>
                <c:pt idx="26">
                  <c:v>20</c:v>
                </c:pt>
                <c:pt idx="27">
                  <c:v>19</c:v>
                </c:pt>
                <c:pt idx="28">
                  <c:v>7</c:v>
                </c:pt>
                <c:pt idx="29">
                  <c:v>12</c:v>
                </c:pt>
                <c:pt idx="30">
                  <c:v>8</c:v>
                </c:pt>
                <c:pt idx="31">
                  <c:v>13</c:v>
                </c:pt>
                <c:pt idx="32">
                  <c:v>6</c:v>
                </c:pt>
                <c:pt idx="33">
                  <c:v>4</c:v>
                </c:pt>
                <c:pt idx="34">
                  <c:v>2</c:v>
                </c:pt>
                <c:pt idx="35">
                  <c:v>3</c:v>
                </c:pt>
              </c:numCache>
            </c:numRef>
          </c:val>
          <c:extLst>
            <c:ext xmlns:c16="http://schemas.microsoft.com/office/drawing/2014/chart" uri="{C3380CC4-5D6E-409C-BE32-E72D297353CC}">
              <c16:uniqueId val="{00000000-5876-4E94-8F7B-C05F13B7C7DD}"/>
            </c:ext>
          </c:extLst>
        </c:ser>
        <c:dLbls>
          <c:dLblPos val="ctr"/>
          <c:showLegendKey val="0"/>
          <c:showVal val="1"/>
          <c:showCatName val="0"/>
          <c:showSerName val="0"/>
          <c:showPercent val="0"/>
          <c:showBubbleSize val="0"/>
        </c:dLbls>
        <c:gapWidth val="150"/>
        <c:overlap val="100"/>
        <c:axId val="171123552"/>
        <c:axId val="171123944"/>
      </c:barChart>
      <c:catAx>
        <c:axId val="171123552"/>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horzOverflow="overflow" vert="horz" wrap="square" anchor="ctr" anchorCtr="1"/>
          <a:lstStyle/>
          <a:p>
            <a:pPr>
              <a:defRPr lang="es-ES" sz="900" b="0" i="0" u="none" strike="noStrike" kern="1200" cap="all" baseline="0">
                <a:solidFill>
                  <a:schemeClr val="dk1">
                    <a:lumMod val="75000"/>
                    <a:lumOff val="25000"/>
                  </a:schemeClr>
                </a:solidFill>
                <a:latin typeface="+mn-lt"/>
                <a:ea typeface="+mn-ea"/>
                <a:cs typeface="+mn-cs"/>
              </a:defRPr>
            </a:pPr>
            <a:endParaRPr lang="es-MX"/>
          </a:p>
        </c:txPr>
        <c:crossAx val="171123944"/>
        <c:crosses val="autoZero"/>
        <c:auto val="0"/>
        <c:lblAlgn val="ctr"/>
        <c:lblOffset val="100"/>
        <c:tickMarkSkip val="1"/>
        <c:noMultiLvlLbl val="0"/>
      </c:catAx>
      <c:valAx>
        <c:axId val="1711239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71123552"/>
        <c:crosses val="autoZero"/>
        <c:crossBetween val="midCat"/>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horzOverflow="overflow" vert="horz" wrap="square" anchor="ctr" anchorCtr="1"/>
        <a:lstStyle/>
        <a:p>
          <a:pPr>
            <a:defRPr lang="es-ES"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Número de Monumentos Culturales y Naturales</a:t>
            </a:r>
            <a:r>
              <a:rPr lang="es-GT" baseline="0"/>
              <a:t> por Región</a:t>
            </a:r>
            <a:endParaRPr lang="es-GT"/>
          </a:p>
        </c:rich>
      </c:tx>
      <c:overlay val="0"/>
      <c:spPr>
        <a:noFill/>
        <a:ln>
          <a:noFill/>
        </a:ln>
        <a:effectLst/>
      </c:spPr>
    </c:title>
    <c:autoTitleDeleted val="0"/>
    <c:plotArea>
      <c:layout/>
      <c:barChart>
        <c:barDir val="col"/>
        <c:grouping val="clustered"/>
        <c:varyColors val="0"/>
        <c:ser>
          <c:idx val="0"/>
          <c:order val="0"/>
          <c:tx>
            <c:strRef>
              <c:f>'Ha por Región y Cat Manejo'!$B$33</c:f>
              <c:strCache>
                <c:ptCount val="1"/>
                <c:pt idx="0">
                  <c:v>Monumento Cultural y Natural</c:v>
                </c:pt>
              </c:strCache>
            </c:strRef>
          </c:tx>
          <c:spPr>
            <a:solidFill>
              <a:schemeClr val="accent1"/>
            </a:solidFill>
            <a:ln>
              <a:noFill/>
            </a:ln>
            <a:effectLst/>
          </c:spPr>
          <c:invertIfNegative val="0"/>
          <c:cat>
            <c:strRef>
              <c:f>'Ha por Región y Cat Manejo'!$A$34:$A$44</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Manejo'!$B$34:$B$44</c:f>
              <c:numCache>
                <c:formatCode>General</c:formatCode>
                <c:ptCount val="11"/>
                <c:pt idx="0">
                  <c:v>3</c:v>
                </c:pt>
                <c:pt idx="1">
                  <c:v>1</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3FCE-4CEF-9FC8-ADB8CA18B99F}"/>
            </c:ext>
          </c:extLst>
        </c:ser>
        <c:ser>
          <c:idx val="1"/>
          <c:order val="1"/>
          <c:tx>
            <c:strRef>
              <c:f>'Ha por Región y Cat Manejo'!$C$33</c:f>
              <c:strCache>
                <c:ptCount val="1"/>
                <c:pt idx="0">
                  <c:v>Ha</c:v>
                </c:pt>
              </c:strCache>
            </c:strRef>
          </c:tx>
          <c:spPr>
            <a:solidFill>
              <a:schemeClr val="accent2"/>
            </a:solidFill>
            <a:ln>
              <a:noFill/>
            </a:ln>
            <a:effectLst/>
          </c:spPr>
          <c:invertIfNegative val="0"/>
          <c:cat>
            <c:strRef>
              <c:f>'Ha por Región y Cat Manejo'!$A$34:$A$44</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Manejo'!$C$34:$C$44</c:f>
              <c:numCache>
                <c:formatCode>General</c:formatCode>
                <c:ptCount val="11"/>
                <c:pt idx="0">
                  <c:v>64649.4</c:v>
                </c:pt>
                <c:pt idx="1">
                  <c:v>1837.55</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3FCE-4CEF-9FC8-ADB8CA18B99F}"/>
            </c:ext>
          </c:extLst>
        </c:ser>
        <c:dLbls>
          <c:showLegendKey val="0"/>
          <c:showVal val="0"/>
          <c:showCatName val="0"/>
          <c:showSerName val="0"/>
          <c:showPercent val="0"/>
          <c:showBubbleSize val="0"/>
        </c:dLbls>
        <c:gapWidth val="150"/>
        <c:axId val="139498072"/>
        <c:axId val="139457952"/>
      </c:barChart>
      <c:catAx>
        <c:axId val="139498072"/>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39457952"/>
        <c:crosses val="autoZero"/>
        <c:auto val="1"/>
        <c:lblAlgn val="ctr"/>
        <c:lblOffset val="100"/>
        <c:tickMarkSkip val="1"/>
        <c:noMultiLvlLbl val="0"/>
      </c:catAx>
      <c:valAx>
        <c:axId val="139457952"/>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39498072"/>
        <c:crosses val="autoZero"/>
        <c:crossBetween val="between"/>
      </c:valAx>
      <c:spPr>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No. de Hectáreas</a:t>
            </a:r>
            <a:r>
              <a:rPr lang="es-GT" baseline="0"/>
              <a:t> Inscritas por año</a:t>
            </a:r>
            <a:endParaRPr lang="es-GT"/>
          </a:p>
        </c:rich>
      </c:tx>
      <c:overlay val="0"/>
      <c:spPr>
        <a:noFill/>
        <a:ln>
          <a:noFill/>
        </a:ln>
        <a:effectLst/>
      </c:spPr>
    </c:title>
    <c:autoTitleDeleted val="0"/>
    <c:plotArea>
      <c:layout>
        <c:manualLayout>
          <c:layoutTarget val="inner"/>
          <c:xMode val="edge"/>
          <c:yMode val="edge"/>
          <c:x val="0.100758937979468"/>
          <c:y val="8.9088339302730801E-2"/>
          <c:w val="0.83883759055665497"/>
          <c:h val="0.85542927314277895"/>
        </c:manualLayout>
      </c:layout>
      <c:scatterChart>
        <c:scatterStyle val="smoothMarker"/>
        <c:varyColors val="0"/>
        <c:ser>
          <c:idx val="0"/>
          <c:order val="0"/>
          <c:spPr>
            <a:ln w="28575">
              <a:solidFill>
                <a:schemeClr val="accent1"/>
              </a:solidFill>
            </a:ln>
            <a:effectLst/>
          </c:spPr>
          <c:marker>
            <c:symbol val="diamond"/>
            <c:size val="7"/>
            <c:spPr>
              <a:solidFill>
                <a:schemeClr val="accent1"/>
              </a:solidFill>
              <a:ln>
                <a:solidFill>
                  <a:schemeClr val="accent1"/>
                </a:solidFill>
              </a:ln>
              <a:effectLst/>
            </c:spPr>
          </c:marker>
          <c:xVal>
            <c:numRef>
              <c:f>'Crecimiento extensión sigap '!$B$8:$B$41</c:f>
              <c:numCache>
                <c:formatCode>General</c:formatCode>
                <c:ptCount val="34"/>
                <c:pt idx="0">
                  <c:v>1955</c:v>
                </c:pt>
                <c:pt idx="1">
                  <c:v>1956</c:v>
                </c:pt>
                <c:pt idx="2">
                  <c:v>1963</c:v>
                </c:pt>
                <c:pt idx="3">
                  <c:v>1969</c:v>
                </c:pt>
                <c:pt idx="4">
                  <c:v>1972</c:v>
                </c:pt>
                <c:pt idx="5">
                  <c:v>1977</c:v>
                </c:pt>
                <c:pt idx="6">
                  <c:v>1980</c:v>
                </c:pt>
                <c:pt idx="7">
                  <c:v>1987</c:v>
                </c:pt>
                <c:pt idx="8">
                  <c:v>1989</c:v>
                </c:pt>
                <c:pt idx="9">
                  <c:v>1990</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numCache>
            </c:numRef>
          </c:xVal>
          <c:yVal>
            <c:numRef>
              <c:f>'Crecimiento extensión sigap '!$C$8:$C$41</c:f>
              <c:numCache>
                <c:formatCode>General</c:formatCode>
                <c:ptCount val="34"/>
                <c:pt idx="0">
                  <c:v>192035</c:v>
                </c:pt>
                <c:pt idx="1">
                  <c:v>39803.1</c:v>
                </c:pt>
                <c:pt idx="2">
                  <c:v>100</c:v>
                </c:pt>
                <c:pt idx="3">
                  <c:v>2000</c:v>
                </c:pt>
                <c:pt idx="4">
                  <c:v>8</c:v>
                </c:pt>
                <c:pt idx="5">
                  <c:v>3783.29</c:v>
                </c:pt>
                <c:pt idx="6">
                  <c:v>1187</c:v>
                </c:pt>
                <c:pt idx="7">
                  <c:v>22114.45</c:v>
                </c:pt>
                <c:pt idx="8">
                  <c:v>734.77</c:v>
                </c:pt>
                <c:pt idx="9">
                  <c:v>3127781</c:v>
                </c:pt>
                <c:pt idx="10">
                  <c:v>247659.54</c:v>
                </c:pt>
                <c:pt idx="11">
                  <c:v>87627.26</c:v>
                </c:pt>
                <c:pt idx="12">
                  <c:v>62033</c:v>
                </c:pt>
                <c:pt idx="13">
                  <c:v>8916</c:v>
                </c:pt>
                <c:pt idx="14">
                  <c:v>4244.6000000000004</c:v>
                </c:pt>
                <c:pt idx="15">
                  <c:v>2866.25</c:v>
                </c:pt>
                <c:pt idx="16">
                  <c:v>7878.38</c:v>
                </c:pt>
                <c:pt idx="17">
                  <c:v>6409.17</c:v>
                </c:pt>
                <c:pt idx="18">
                  <c:v>38844.870000000003</c:v>
                </c:pt>
                <c:pt idx="19">
                  <c:v>9049.1</c:v>
                </c:pt>
                <c:pt idx="20">
                  <c:v>189389.28</c:v>
                </c:pt>
                <c:pt idx="21">
                  <c:v>21058.71</c:v>
                </c:pt>
                <c:pt idx="22">
                  <c:v>10516.47</c:v>
                </c:pt>
                <c:pt idx="23">
                  <c:v>4273.3500000000004</c:v>
                </c:pt>
                <c:pt idx="24">
                  <c:v>7446.86</c:v>
                </c:pt>
                <c:pt idx="25">
                  <c:v>2972.93</c:v>
                </c:pt>
                <c:pt idx="26">
                  <c:v>1990.88</c:v>
                </c:pt>
                <c:pt idx="27">
                  <c:v>648.22</c:v>
                </c:pt>
                <c:pt idx="28">
                  <c:v>3541.84</c:v>
                </c:pt>
                <c:pt idx="29">
                  <c:v>21504.720000000001</c:v>
                </c:pt>
                <c:pt idx="30">
                  <c:v>148.4</c:v>
                </c:pt>
                <c:pt idx="31">
                  <c:v>7335.82</c:v>
                </c:pt>
                <c:pt idx="32" formatCode="#,##0.00">
                  <c:v>153.75239999999999</c:v>
                </c:pt>
                <c:pt idx="33" formatCode="#,##0.00">
                  <c:v>109.02850000000001</c:v>
                </c:pt>
              </c:numCache>
            </c:numRef>
          </c:yVal>
          <c:smooth val="1"/>
          <c:extLst>
            <c:ext xmlns:c16="http://schemas.microsoft.com/office/drawing/2014/chart" uri="{C3380CC4-5D6E-409C-BE32-E72D297353CC}">
              <c16:uniqueId val="{00000000-C71D-4B77-A341-E76243EE0E0A}"/>
            </c:ext>
          </c:extLst>
        </c:ser>
        <c:dLbls>
          <c:showLegendKey val="0"/>
          <c:showVal val="0"/>
          <c:showCatName val="0"/>
          <c:showSerName val="0"/>
          <c:showPercent val="0"/>
          <c:showBubbleSize val="0"/>
        </c:dLbls>
        <c:axId val="171745136"/>
        <c:axId val="171743960"/>
      </c:scatterChart>
      <c:valAx>
        <c:axId val="171745136"/>
        <c:scaling>
          <c:orientation val="minMax"/>
          <c:max val="2015"/>
          <c:min val="1955"/>
        </c:scaling>
        <c:delete val="0"/>
        <c:axPos val="b"/>
        <c:title>
          <c:tx>
            <c:rich>
              <a:bodyPr vertOverflow="ellipsis" anchor="ctr" anchorCtr="1"/>
              <a:lstStyle/>
              <a:p>
                <a:pPr algn="ctr">
                  <a:defRPr sz="1000" b="1">
                    <a:solidFill>
                      <a:schemeClr val="tx1"/>
                    </a:solidFill>
                    <a:latin typeface="+mn-lt"/>
                    <a:ea typeface="+mn-ea"/>
                    <a:cs typeface="+mn-cs"/>
                  </a:defRPr>
                </a:pPr>
                <a:r>
                  <a:rPr lang="es-GT"/>
                  <a:t>Año de Declaratoria</a:t>
                </a:r>
              </a:p>
            </c:rich>
          </c:tx>
          <c:overlay val="0"/>
          <c:spPr>
            <a:noFill/>
            <a:ln>
              <a:noFill/>
            </a:ln>
            <a:effectLst/>
          </c:spPr>
        </c:title>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1743960"/>
        <c:crosses val="autoZero"/>
        <c:crossBetween val="midCat"/>
        <c:majorUnit val="5"/>
      </c:valAx>
      <c:valAx>
        <c:axId val="171743960"/>
        <c:scaling>
          <c:orientation val="minMax"/>
        </c:scaling>
        <c:delete val="0"/>
        <c:axPos val="l"/>
        <c:majorGridlines>
          <c:spPr>
            <a:ln>
              <a:solidFill>
                <a:schemeClr val="tx1">
                  <a:lumMod val="50000"/>
                  <a:lumOff val="50000"/>
                </a:schemeClr>
              </a:solidFill>
            </a:ln>
            <a:effectLst/>
          </c:spPr>
        </c:majorGridlines>
        <c:title>
          <c:tx>
            <c:rich>
              <a:bodyPr vertOverflow="ellipsis" anchor="ctr" anchorCtr="1"/>
              <a:lstStyle/>
              <a:p>
                <a:pPr algn="ctr">
                  <a:defRPr sz="1000" b="1">
                    <a:solidFill>
                      <a:schemeClr val="tx1"/>
                    </a:solidFill>
                    <a:latin typeface="+mn-lt"/>
                    <a:ea typeface="+mn-ea"/>
                    <a:cs typeface="+mn-cs"/>
                  </a:defRPr>
                </a:pPr>
                <a:r>
                  <a:rPr lang="es-GT"/>
                  <a:t>Hectáreas</a:t>
                </a:r>
              </a:p>
            </c:rich>
          </c:tx>
          <c:overlay val="0"/>
          <c:spPr>
            <a:noFill/>
            <a:ln>
              <a:noFill/>
            </a:ln>
            <a:effectLst/>
          </c:spPr>
        </c:title>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1745136"/>
        <c:crosses val="autoZero"/>
        <c:crossBetween val="midCat"/>
      </c:valAx>
      <c:spPr>
        <a:solidFill>
          <a:schemeClr val="bg1"/>
        </a:solidFill>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Creciemiento Extensión del SIGAP</a:t>
            </a:r>
          </a:p>
        </c:rich>
      </c:tx>
      <c:overlay val="0"/>
      <c:spPr>
        <a:noFill/>
        <a:ln>
          <a:noFill/>
        </a:ln>
        <a:effectLst/>
      </c:spPr>
    </c:title>
    <c:autoTitleDeleted val="0"/>
    <c:plotArea>
      <c:layout>
        <c:manualLayout>
          <c:layoutTarget val="inner"/>
          <c:xMode val="edge"/>
          <c:yMode val="edge"/>
          <c:x val="0.141579214784366"/>
          <c:y val="0.12572193921183"/>
          <c:w val="0.73642773603855405"/>
          <c:h val="0.79598101978317504"/>
        </c:manualLayout>
      </c:layout>
      <c:scatterChart>
        <c:scatterStyle val="smoothMarker"/>
        <c:varyColors val="0"/>
        <c:ser>
          <c:idx val="0"/>
          <c:order val="0"/>
          <c:spPr>
            <a:ln w="28575">
              <a:solidFill>
                <a:schemeClr val="accent1"/>
              </a:solidFill>
            </a:ln>
            <a:effectLst/>
          </c:spPr>
          <c:marker>
            <c:symbol val="diamond"/>
            <c:size val="7"/>
            <c:spPr>
              <a:solidFill>
                <a:schemeClr val="accent1"/>
              </a:solidFill>
              <a:ln>
                <a:solidFill>
                  <a:schemeClr val="accent1"/>
                </a:solidFill>
              </a:ln>
              <a:effectLst/>
            </c:spPr>
          </c:marker>
          <c:xVal>
            <c:numRef>
              <c:f>'Crecimiento extensión sigap '!$B$45:$B$78</c:f>
              <c:numCache>
                <c:formatCode>General</c:formatCode>
                <c:ptCount val="34"/>
                <c:pt idx="0">
                  <c:v>1955</c:v>
                </c:pt>
                <c:pt idx="1">
                  <c:v>1956</c:v>
                </c:pt>
                <c:pt idx="2">
                  <c:v>1963</c:v>
                </c:pt>
                <c:pt idx="3">
                  <c:v>1969</c:v>
                </c:pt>
                <c:pt idx="4">
                  <c:v>1972</c:v>
                </c:pt>
                <c:pt idx="5">
                  <c:v>1977</c:v>
                </c:pt>
                <c:pt idx="6">
                  <c:v>1980</c:v>
                </c:pt>
                <c:pt idx="7">
                  <c:v>1987</c:v>
                </c:pt>
                <c:pt idx="8">
                  <c:v>1989</c:v>
                </c:pt>
                <c:pt idx="9">
                  <c:v>1990</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numCache>
            </c:numRef>
          </c:xVal>
          <c:yVal>
            <c:numRef>
              <c:f>'Crecimiento extensión sigap '!$C$45:$C$78</c:f>
              <c:numCache>
                <c:formatCode>General</c:formatCode>
                <c:ptCount val="34"/>
                <c:pt idx="0">
                  <c:v>192035</c:v>
                </c:pt>
                <c:pt idx="1">
                  <c:v>231838.1</c:v>
                </c:pt>
                <c:pt idx="2">
                  <c:v>231938.1</c:v>
                </c:pt>
                <c:pt idx="3">
                  <c:v>233938.1</c:v>
                </c:pt>
                <c:pt idx="4">
                  <c:v>233946.1</c:v>
                </c:pt>
                <c:pt idx="5">
                  <c:v>237729.39</c:v>
                </c:pt>
                <c:pt idx="6">
                  <c:v>238916.39</c:v>
                </c:pt>
                <c:pt idx="7">
                  <c:v>261030.84</c:v>
                </c:pt>
                <c:pt idx="8">
                  <c:v>261765.61</c:v>
                </c:pt>
                <c:pt idx="9">
                  <c:v>3389546.61</c:v>
                </c:pt>
                <c:pt idx="10">
                  <c:v>3637206.15</c:v>
                </c:pt>
                <c:pt idx="11">
                  <c:v>3724833.41</c:v>
                </c:pt>
                <c:pt idx="12">
                  <c:v>3786866.41</c:v>
                </c:pt>
                <c:pt idx="13">
                  <c:v>3795782.41</c:v>
                </c:pt>
                <c:pt idx="14">
                  <c:v>3800027.01</c:v>
                </c:pt>
                <c:pt idx="15">
                  <c:v>3802893.26</c:v>
                </c:pt>
                <c:pt idx="16">
                  <c:v>3810771.64</c:v>
                </c:pt>
                <c:pt idx="17">
                  <c:v>3817180.81</c:v>
                </c:pt>
                <c:pt idx="18">
                  <c:v>3856025.68</c:v>
                </c:pt>
                <c:pt idx="19">
                  <c:v>3865074.78</c:v>
                </c:pt>
                <c:pt idx="20">
                  <c:v>4054464.06</c:v>
                </c:pt>
                <c:pt idx="21">
                  <c:v>4075522.77</c:v>
                </c:pt>
                <c:pt idx="22">
                  <c:v>4086039.24</c:v>
                </c:pt>
                <c:pt idx="23">
                  <c:v>4090312.59</c:v>
                </c:pt>
                <c:pt idx="24">
                  <c:v>4097759.45</c:v>
                </c:pt>
                <c:pt idx="25">
                  <c:v>4100732.38</c:v>
                </c:pt>
                <c:pt idx="26">
                  <c:v>4102723.26</c:v>
                </c:pt>
                <c:pt idx="27">
                  <c:v>4103371.48</c:v>
                </c:pt>
                <c:pt idx="28">
                  <c:v>4106913.32</c:v>
                </c:pt>
                <c:pt idx="29">
                  <c:v>4128418.04</c:v>
                </c:pt>
                <c:pt idx="30">
                  <c:v>4128566.44</c:v>
                </c:pt>
                <c:pt idx="31" formatCode="0.00">
                  <c:v>4169908.12</c:v>
                </c:pt>
                <c:pt idx="32" formatCode="0.00">
                  <c:v>4177038.2937910007</c:v>
                </c:pt>
                <c:pt idx="33" formatCode="0.00">
                  <c:v>4177038.2937910007</c:v>
                </c:pt>
              </c:numCache>
            </c:numRef>
          </c:yVal>
          <c:smooth val="1"/>
          <c:extLst>
            <c:ext xmlns:c16="http://schemas.microsoft.com/office/drawing/2014/chart" uri="{C3380CC4-5D6E-409C-BE32-E72D297353CC}">
              <c16:uniqueId val="{00000000-4540-4A2E-B506-D30CE2077A1F}"/>
            </c:ext>
          </c:extLst>
        </c:ser>
        <c:ser>
          <c:idx val="1"/>
          <c:order val="1"/>
          <c:spPr>
            <a:ln w="28575">
              <a:solidFill>
                <a:schemeClr val="accent2"/>
              </a:solidFill>
            </a:ln>
            <a:effectLst/>
          </c:spPr>
          <c:marker>
            <c:symbol val="square"/>
            <c:size val="7"/>
            <c:spPr>
              <a:solidFill>
                <a:schemeClr val="accent2"/>
              </a:solidFill>
              <a:ln>
                <a:solidFill>
                  <a:schemeClr val="accent2"/>
                </a:solidFill>
              </a:ln>
              <a:effectLst/>
            </c:spPr>
          </c:marker>
          <c:xVal>
            <c:numRef>
              <c:f>'Crecimiento extensión sigap '!$B$45:$B$78</c:f>
              <c:numCache>
                <c:formatCode>General</c:formatCode>
                <c:ptCount val="34"/>
                <c:pt idx="0">
                  <c:v>1955</c:v>
                </c:pt>
                <c:pt idx="1">
                  <c:v>1956</c:v>
                </c:pt>
                <c:pt idx="2">
                  <c:v>1963</c:v>
                </c:pt>
                <c:pt idx="3">
                  <c:v>1969</c:v>
                </c:pt>
                <c:pt idx="4">
                  <c:v>1972</c:v>
                </c:pt>
                <c:pt idx="5">
                  <c:v>1977</c:v>
                </c:pt>
                <c:pt idx="6">
                  <c:v>1980</c:v>
                </c:pt>
                <c:pt idx="7">
                  <c:v>1987</c:v>
                </c:pt>
                <c:pt idx="8">
                  <c:v>1989</c:v>
                </c:pt>
                <c:pt idx="9">
                  <c:v>1990</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numCache>
            </c:numRef>
          </c:xVal>
          <c:yVal>
            <c:numRef>
              <c:f>'Crecimiento extensión sigap '!$D$45:$D$78</c:f>
              <c:numCache>
                <c:formatCode>General</c:formatCode>
                <c:ptCount val="34"/>
                <c:pt idx="0">
                  <c:v>10</c:v>
                </c:pt>
                <c:pt idx="1">
                  <c:v>31</c:v>
                </c:pt>
                <c:pt idx="2">
                  <c:v>2</c:v>
                </c:pt>
                <c:pt idx="3">
                  <c:v>1</c:v>
                </c:pt>
                <c:pt idx="4">
                  <c:v>1</c:v>
                </c:pt>
                <c:pt idx="5">
                  <c:v>2</c:v>
                </c:pt>
                <c:pt idx="6">
                  <c:v>2</c:v>
                </c:pt>
                <c:pt idx="7">
                  <c:v>1</c:v>
                </c:pt>
                <c:pt idx="8">
                  <c:v>1</c:v>
                </c:pt>
                <c:pt idx="9">
                  <c:v>9</c:v>
                </c:pt>
                <c:pt idx="10">
                  <c:v>13</c:v>
                </c:pt>
                <c:pt idx="11">
                  <c:v>8</c:v>
                </c:pt>
                <c:pt idx="12">
                  <c:v>6</c:v>
                </c:pt>
                <c:pt idx="13">
                  <c:v>3</c:v>
                </c:pt>
                <c:pt idx="14">
                  <c:v>3</c:v>
                </c:pt>
                <c:pt idx="15">
                  <c:v>3</c:v>
                </c:pt>
                <c:pt idx="16">
                  <c:v>22</c:v>
                </c:pt>
                <c:pt idx="17">
                  <c:v>16</c:v>
                </c:pt>
                <c:pt idx="18">
                  <c:v>4</c:v>
                </c:pt>
                <c:pt idx="19">
                  <c:v>5</c:v>
                </c:pt>
                <c:pt idx="20">
                  <c:v>9</c:v>
                </c:pt>
                <c:pt idx="21">
                  <c:v>38</c:v>
                </c:pt>
                <c:pt idx="22">
                  <c:v>36</c:v>
                </c:pt>
                <c:pt idx="23">
                  <c:v>21</c:v>
                </c:pt>
                <c:pt idx="24">
                  <c:v>20</c:v>
                </c:pt>
                <c:pt idx="25">
                  <c:v>20</c:v>
                </c:pt>
                <c:pt idx="26">
                  <c:v>7</c:v>
                </c:pt>
                <c:pt idx="27">
                  <c:v>12</c:v>
                </c:pt>
                <c:pt idx="28">
                  <c:v>8</c:v>
                </c:pt>
                <c:pt idx="29">
                  <c:v>13</c:v>
                </c:pt>
                <c:pt idx="30">
                  <c:v>6</c:v>
                </c:pt>
                <c:pt idx="31">
                  <c:v>4</c:v>
                </c:pt>
                <c:pt idx="32">
                  <c:v>2</c:v>
                </c:pt>
                <c:pt idx="33">
                  <c:v>2</c:v>
                </c:pt>
              </c:numCache>
            </c:numRef>
          </c:yVal>
          <c:smooth val="1"/>
          <c:extLst>
            <c:ext xmlns:c16="http://schemas.microsoft.com/office/drawing/2014/chart" uri="{C3380CC4-5D6E-409C-BE32-E72D297353CC}">
              <c16:uniqueId val="{00000001-4540-4A2E-B506-D30CE2077A1F}"/>
            </c:ext>
          </c:extLst>
        </c:ser>
        <c:dLbls>
          <c:showLegendKey val="0"/>
          <c:showVal val="0"/>
          <c:showCatName val="0"/>
          <c:showSerName val="0"/>
          <c:showPercent val="0"/>
          <c:showBubbleSize val="0"/>
        </c:dLbls>
        <c:axId val="171746312"/>
        <c:axId val="171746704"/>
      </c:scatterChart>
      <c:valAx>
        <c:axId val="171746312"/>
        <c:scaling>
          <c:orientation val="minMax"/>
          <c:max val="2015"/>
          <c:min val="1955"/>
        </c:scaling>
        <c:delete val="0"/>
        <c:axPos val="b"/>
        <c:title>
          <c:tx>
            <c:rich>
              <a:bodyPr vertOverflow="ellipsis" anchor="ctr" anchorCtr="1"/>
              <a:lstStyle/>
              <a:p>
                <a:pPr algn="ctr">
                  <a:defRPr sz="1000" b="1">
                    <a:solidFill>
                      <a:schemeClr val="tx1"/>
                    </a:solidFill>
                    <a:latin typeface="+mn-lt"/>
                    <a:ea typeface="+mn-ea"/>
                    <a:cs typeface="+mn-cs"/>
                  </a:defRPr>
                </a:pPr>
                <a:r>
                  <a:rPr lang="es-GT"/>
                  <a:t>Año de Declaratoria</a:t>
                </a:r>
              </a:p>
            </c:rich>
          </c:tx>
          <c:overlay val="0"/>
          <c:spPr>
            <a:noFill/>
            <a:ln>
              <a:noFill/>
            </a:ln>
            <a:effectLst/>
          </c:spPr>
        </c:title>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1746704"/>
        <c:crosses val="autoZero"/>
        <c:crossBetween val="midCat"/>
        <c:majorUnit val="5"/>
      </c:valAx>
      <c:valAx>
        <c:axId val="171746704"/>
        <c:scaling>
          <c:orientation val="minMax"/>
        </c:scaling>
        <c:delete val="0"/>
        <c:axPos val="l"/>
        <c:majorGridlines>
          <c:spPr>
            <a:ln>
              <a:solidFill>
                <a:schemeClr val="tx1">
                  <a:lumMod val="50000"/>
                  <a:lumOff val="50000"/>
                </a:schemeClr>
              </a:solidFill>
            </a:ln>
            <a:effectLst/>
          </c:spPr>
        </c:majorGridlines>
        <c:title>
          <c:tx>
            <c:rich>
              <a:bodyPr vertOverflow="ellipsis" anchor="ctr" anchorCtr="1"/>
              <a:lstStyle/>
              <a:p>
                <a:pPr algn="ctr">
                  <a:defRPr sz="1000" b="1">
                    <a:solidFill>
                      <a:schemeClr val="tx1"/>
                    </a:solidFill>
                    <a:latin typeface="+mn-lt"/>
                    <a:ea typeface="+mn-ea"/>
                    <a:cs typeface="+mn-cs"/>
                  </a:defRPr>
                </a:pPr>
                <a:r>
                  <a:rPr lang="es-GT"/>
                  <a:t>Hectareaje</a:t>
                </a:r>
              </a:p>
            </c:rich>
          </c:tx>
          <c:overlay val="0"/>
          <c:spPr>
            <a:noFill/>
            <a:ln>
              <a:noFill/>
            </a:ln>
            <a:effectLst/>
          </c:spPr>
        </c:title>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1746312"/>
        <c:crosses val="autoZero"/>
        <c:crossBetween val="midCat"/>
      </c:valAx>
      <c:spPr>
        <a:solidFill>
          <a:schemeClr val="bg1"/>
        </a:solidFill>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Áreas y Ha Inscritas por año suma individual </a:t>
            </a:r>
          </a:p>
        </c:rich>
      </c:tx>
      <c:overlay val="0"/>
      <c:spPr>
        <a:noFill/>
        <a:ln>
          <a:noFill/>
        </a:ln>
        <a:effectLst/>
      </c:spPr>
    </c:title>
    <c:autoTitleDeleted val="0"/>
    <c:plotArea>
      <c:layout/>
      <c:barChart>
        <c:barDir val="col"/>
        <c:grouping val="clustered"/>
        <c:varyColors val="0"/>
        <c:ser>
          <c:idx val="0"/>
          <c:order val="0"/>
          <c:tx>
            <c:strRef>
              <c:f>'Crecimiento extensión sigap '!$B$82</c:f>
              <c:strCache>
                <c:ptCount val="1"/>
                <c:pt idx="0">
                  <c:v>Años</c:v>
                </c:pt>
              </c:strCache>
            </c:strRef>
          </c:tx>
          <c:spPr>
            <a:solidFill>
              <a:schemeClr val="accent1"/>
            </a:solidFill>
            <a:ln>
              <a:noFill/>
            </a:ln>
            <a:effectLst/>
          </c:spPr>
          <c:invertIfNegative val="0"/>
          <c:cat>
            <c:numRef>
              <c:f>'Crecimiento extensión sigap '!$B$83:$B$116</c:f>
              <c:numCache>
                <c:formatCode>General</c:formatCode>
                <c:ptCount val="34"/>
                <c:pt idx="0">
                  <c:v>1955</c:v>
                </c:pt>
                <c:pt idx="1">
                  <c:v>1956</c:v>
                </c:pt>
                <c:pt idx="2">
                  <c:v>1963</c:v>
                </c:pt>
                <c:pt idx="3">
                  <c:v>1969</c:v>
                </c:pt>
                <c:pt idx="4">
                  <c:v>1972</c:v>
                </c:pt>
                <c:pt idx="5">
                  <c:v>1977</c:v>
                </c:pt>
                <c:pt idx="6">
                  <c:v>1980</c:v>
                </c:pt>
                <c:pt idx="7">
                  <c:v>1987</c:v>
                </c:pt>
                <c:pt idx="8">
                  <c:v>1989</c:v>
                </c:pt>
                <c:pt idx="9">
                  <c:v>1990</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numCache>
            </c:numRef>
          </c:cat>
          <c:val>
            <c:numRef>
              <c:f>'Crecimiento extensión sigap '!$B$83:$B$114</c:f>
              <c:numCache>
                <c:formatCode>General</c:formatCode>
                <c:ptCount val="32"/>
                <c:pt idx="0">
                  <c:v>1955</c:v>
                </c:pt>
                <c:pt idx="1">
                  <c:v>1956</c:v>
                </c:pt>
                <c:pt idx="2">
                  <c:v>1963</c:v>
                </c:pt>
                <c:pt idx="3">
                  <c:v>1969</c:v>
                </c:pt>
                <c:pt idx="4">
                  <c:v>1972</c:v>
                </c:pt>
                <c:pt idx="5">
                  <c:v>1977</c:v>
                </c:pt>
                <c:pt idx="6">
                  <c:v>1980</c:v>
                </c:pt>
                <c:pt idx="7">
                  <c:v>1987</c:v>
                </c:pt>
                <c:pt idx="8">
                  <c:v>1989</c:v>
                </c:pt>
                <c:pt idx="9">
                  <c:v>1990</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numCache>
            </c:numRef>
          </c:val>
          <c:extLst>
            <c:ext xmlns:c16="http://schemas.microsoft.com/office/drawing/2014/chart" uri="{C3380CC4-5D6E-409C-BE32-E72D297353CC}">
              <c16:uniqueId val="{00000000-1576-4E1C-A128-4DE7C607DFEE}"/>
            </c:ext>
          </c:extLst>
        </c:ser>
        <c:ser>
          <c:idx val="1"/>
          <c:order val="1"/>
          <c:tx>
            <c:strRef>
              <c:f>'Crecimiento extensión sigap '!$C$82</c:f>
              <c:strCache>
                <c:ptCount val="1"/>
                <c:pt idx="0">
                  <c:v>Ha</c:v>
                </c:pt>
              </c:strCache>
            </c:strRef>
          </c:tx>
          <c:spPr>
            <a:solidFill>
              <a:schemeClr val="accent2"/>
            </a:solidFill>
            <a:ln>
              <a:noFill/>
            </a:ln>
            <a:effectLst/>
          </c:spPr>
          <c:invertIfNegative val="0"/>
          <c:cat>
            <c:numRef>
              <c:f>'Crecimiento extensión sigap '!$B$83:$B$116</c:f>
              <c:numCache>
                <c:formatCode>General</c:formatCode>
                <c:ptCount val="34"/>
                <c:pt idx="0">
                  <c:v>1955</c:v>
                </c:pt>
                <c:pt idx="1">
                  <c:v>1956</c:v>
                </c:pt>
                <c:pt idx="2">
                  <c:v>1963</c:v>
                </c:pt>
                <c:pt idx="3">
                  <c:v>1969</c:v>
                </c:pt>
                <c:pt idx="4">
                  <c:v>1972</c:v>
                </c:pt>
                <c:pt idx="5">
                  <c:v>1977</c:v>
                </c:pt>
                <c:pt idx="6">
                  <c:v>1980</c:v>
                </c:pt>
                <c:pt idx="7">
                  <c:v>1987</c:v>
                </c:pt>
                <c:pt idx="8">
                  <c:v>1989</c:v>
                </c:pt>
                <c:pt idx="9">
                  <c:v>1990</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numCache>
            </c:numRef>
          </c:cat>
          <c:val>
            <c:numRef>
              <c:f>'Crecimiento extensión sigap '!$C$83:$C$116</c:f>
              <c:numCache>
                <c:formatCode>General</c:formatCode>
                <c:ptCount val="34"/>
                <c:pt idx="0">
                  <c:v>192035</c:v>
                </c:pt>
                <c:pt idx="1">
                  <c:v>231838.1</c:v>
                </c:pt>
                <c:pt idx="2">
                  <c:v>231938.1</c:v>
                </c:pt>
                <c:pt idx="3">
                  <c:v>233938.1</c:v>
                </c:pt>
                <c:pt idx="4">
                  <c:v>233946.1</c:v>
                </c:pt>
                <c:pt idx="5">
                  <c:v>237729.39</c:v>
                </c:pt>
                <c:pt idx="6">
                  <c:v>238916.39</c:v>
                </c:pt>
                <c:pt idx="7">
                  <c:v>261030.84</c:v>
                </c:pt>
                <c:pt idx="8">
                  <c:v>261765.61</c:v>
                </c:pt>
                <c:pt idx="9">
                  <c:v>3389546.61</c:v>
                </c:pt>
                <c:pt idx="10">
                  <c:v>3637206.15</c:v>
                </c:pt>
                <c:pt idx="11">
                  <c:v>3724833.41</c:v>
                </c:pt>
                <c:pt idx="12">
                  <c:v>3786866.41</c:v>
                </c:pt>
                <c:pt idx="13">
                  <c:v>3795782.41</c:v>
                </c:pt>
                <c:pt idx="14">
                  <c:v>3800027.01</c:v>
                </c:pt>
                <c:pt idx="15">
                  <c:v>3802893.26</c:v>
                </c:pt>
                <c:pt idx="16">
                  <c:v>3810771.64</c:v>
                </c:pt>
                <c:pt idx="17">
                  <c:v>3817180.81</c:v>
                </c:pt>
                <c:pt idx="18">
                  <c:v>3856025.68</c:v>
                </c:pt>
                <c:pt idx="19">
                  <c:v>3865074.78</c:v>
                </c:pt>
                <c:pt idx="20">
                  <c:v>4054464.06</c:v>
                </c:pt>
                <c:pt idx="21">
                  <c:v>4075522.77</c:v>
                </c:pt>
                <c:pt idx="22">
                  <c:v>4086039.24</c:v>
                </c:pt>
                <c:pt idx="23">
                  <c:v>4090312.59</c:v>
                </c:pt>
                <c:pt idx="24">
                  <c:v>4097759.45</c:v>
                </c:pt>
                <c:pt idx="25">
                  <c:v>4100732.38</c:v>
                </c:pt>
                <c:pt idx="26">
                  <c:v>4102723.26</c:v>
                </c:pt>
                <c:pt idx="27">
                  <c:v>4103371.48</c:v>
                </c:pt>
                <c:pt idx="28">
                  <c:v>4106913.32</c:v>
                </c:pt>
                <c:pt idx="29">
                  <c:v>4128418.04</c:v>
                </c:pt>
                <c:pt idx="30">
                  <c:v>4128566.44</c:v>
                </c:pt>
                <c:pt idx="31" formatCode="0.00">
                  <c:v>4169908.12</c:v>
                </c:pt>
                <c:pt idx="32" formatCode="#,##0.00">
                  <c:v>4177038.2937910007</c:v>
                </c:pt>
                <c:pt idx="33" formatCode="#,##0.00">
                  <c:v>4177038.2937910007</c:v>
                </c:pt>
              </c:numCache>
            </c:numRef>
          </c:val>
          <c:extLst>
            <c:ext xmlns:c16="http://schemas.microsoft.com/office/drawing/2014/chart" uri="{C3380CC4-5D6E-409C-BE32-E72D297353CC}">
              <c16:uniqueId val="{00000001-1576-4E1C-A128-4DE7C607DFEE}"/>
            </c:ext>
          </c:extLst>
        </c:ser>
        <c:ser>
          <c:idx val="2"/>
          <c:order val="2"/>
          <c:tx>
            <c:strRef>
              <c:f>'Crecimiento extensión sigap '!$D$82</c:f>
              <c:strCache>
                <c:ptCount val="1"/>
                <c:pt idx="0">
                  <c:v>No. Áreas</c:v>
                </c:pt>
              </c:strCache>
            </c:strRef>
          </c:tx>
          <c:spPr>
            <a:solidFill>
              <a:schemeClr val="accent3"/>
            </a:solidFill>
            <a:ln>
              <a:noFill/>
            </a:ln>
            <a:effectLst/>
          </c:spPr>
          <c:invertIfNegative val="0"/>
          <c:cat>
            <c:numRef>
              <c:f>'Crecimiento extensión sigap '!$B$83:$B$116</c:f>
              <c:numCache>
                <c:formatCode>General</c:formatCode>
                <c:ptCount val="34"/>
                <c:pt idx="0">
                  <c:v>1955</c:v>
                </c:pt>
                <c:pt idx="1">
                  <c:v>1956</c:v>
                </c:pt>
                <c:pt idx="2">
                  <c:v>1963</c:v>
                </c:pt>
                <c:pt idx="3">
                  <c:v>1969</c:v>
                </c:pt>
                <c:pt idx="4">
                  <c:v>1972</c:v>
                </c:pt>
                <c:pt idx="5">
                  <c:v>1977</c:v>
                </c:pt>
                <c:pt idx="6">
                  <c:v>1980</c:v>
                </c:pt>
                <c:pt idx="7">
                  <c:v>1987</c:v>
                </c:pt>
                <c:pt idx="8">
                  <c:v>1989</c:v>
                </c:pt>
                <c:pt idx="9">
                  <c:v>1990</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numCache>
            </c:numRef>
          </c:cat>
          <c:val>
            <c:numRef>
              <c:f>'Crecimiento extensión sigap '!$D$83:$D$114</c:f>
              <c:numCache>
                <c:formatCode>General</c:formatCode>
                <c:ptCount val="32"/>
                <c:pt idx="0">
                  <c:v>10</c:v>
                </c:pt>
                <c:pt idx="1">
                  <c:v>31</c:v>
                </c:pt>
                <c:pt idx="2">
                  <c:v>2</c:v>
                </c:pt>
                <c:pt idx="3">
                  <c:v>1</c:v>
                </c:pt>
                <c:pt idx="4">
                  <c:v>1</c:v>
                </c:pt>
                <c:pt idx="5">
                  <c:v>2</c:v>
                </c:pt>
                <c:pt idx="6">
                  <c:v>2</c:v>
                </c:pt>
                <c:pt idx="7">
                  <c:v>1</c:v>
                </c:pt>
                <c:pt idx="8">
                  <c:v>1</c:v>
                </c:pt>
                <c:pt idx="9">
                  <c:v>9</c:v>
                </c:pt>
                <c:pt idx="10">
                  <c:v>13</c:v>
                </c:pt>
                <c:pt idx="11">
                  <c:v>8</c:v>
                </c:pt>
                <c:pt idx="12">
                  <c:v>6</c:v>
                </c:pt>
                <c:pt idx="13">
                  <c:v>3</c:v>
                </c:pt>
                <c:pt idx="14">
                  <c:v>3</c:v>
                </c:pt>
                <c:pt idx="15">
                  <c:v>3</c:v>
                </c:pt>
                <c:pt idx="16">
                  <c:v>22</c:v>
                </c:pt>
                <c:pt idx="17">
                  <c:v>16</c:v>
                </c:pt>
                <c:pt idx="18">
                  <c:v>4</c:v>
                </c:pt>
                <c:pt idx="19">
                  <c:v>5</c:v>
                </c:pt>
                <c:pt idx="20">
                  <c:v>9</c:v>
                </c:pt>
                <c:pt idx="21">
                  <c:v>38</c:v>
                </c:pt>
                <c:pt idx="22">
                  <c:v>36</c:v>
                </c:pt>
                <c:pt idx="23">
                  <c:v>21</c:v>
                </c:pt>
                <c:pt idx="24">
                  <c:v>20</c:v>
                </c:pt>
                <c:pt idx="25">
                  <c:v>20</c:v>
                </c:pt>
                <c:pt idx="26">
                  <c:v>7</c:v>
                </c:pt>
                <c:pt idx="27">
                  <c:v>12</c:v>
                </c:pt>
                <c:pt idx="28">
                  <c:v>8</c:v>
                </c:pt>
                <c:pt idx="29">
                  <c:v>13</c:v>
                </c:pt>
                <c:pt idx="30">
                  <c:v>6</c:v>
                </c:pt>
                <c:pt idx="31">
                  <c:v>4</c:v>
                </c:pt>
              </c:numCache>
            </c:numRef>
          </c:val>
          <c:extLst>
            <c:ext xmlns:c16="http://schemas.microsoft.com/office/drawing/2014/chart" uri="{C3380CC4-5D6E-409C-BE32-E72D297353CC}">
              <c16:uniqueId val="{00000002-1576-4E1C-A128-4DE7C607DFEE}"/>
            </c:ext>
          </c:extLst>
        </c:ser>
        <c:dLbls>
          <c:showLegendKey val="0"/>
          <c:showVal val="0"/>
          <c:showCatName val="0"/>
          <c:showSerName val="0"/>
          <c:showPercent val="0"/>
          <c:showBubbleSize val="0"/>
        </c:dLbls>
        <c:gapWidth val="150"/>
        <c:axId val="171747488"/>
        <c:axId val="171124336"/>
      </c:barChart>
      <c:catAx>
        <c:axId val="171747488"/>
        <c:scaling>
          <c:orientation val="minMax"/>
        </c:scaling>
        <c:delete val="0"/>
        <c:axPos val="b"/>
        <c:title>
          <c:tx>
            <c:rich>
              <a:bodyPr vertOverflow="ellipsis" anchor="ctr" anchorCtr="1"/>
              <a:lstStyle/>
              <a:p>
                <a:pPr algn="ctr">
                  <a:defRPr sz="1000" b="1">
                    <a:solidFill>
                      <a:schemeClr val="tx1"/>
                    </a:solidFill>
                    <a:latin typeface="+mn-lt"/>
                    <a:ea typeface="+mn-ea"/>
                    <a:cs typeface="+mn-cs"/>
                  </a:defRPr>
                </a:pPr>
                <a:r>
                  <a:rPr lang="es-GT"/>
                  <a:t>Año</a:t>
                </a:r>
                <a:r>
                  <a:rPr lang="es-GT" baseline="0"/>
                  <a:t> de Declaratoria</a:t>
                </a:r>
                <a:endParaRPr lang="es-GT"/>
              </a:p>
            </c:rich>
          </c:tx>
          <c:overlay val="0"/>
          <c:spPr>
            <a:noFill/>
            <a:ln>
              <a:noFill/>
            </a:ln>
            <a:effectLst/>
          </c:spPr>
        </c:title>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1124336"/>
        <c:crosses val="autoZero"/>
        <c:auto val="1"/>
        <c:lblAlgn val="ctr"/>
        <c:lblOffset val="100"/>
        <c:tickMarkSkip val="1"/>
        <c:noMultiLvlLbl val="0"/>
      </c:catAx>
      <c:valAx>
        <c:axId val="171124336"/>
        <c:scaling>
          <c:orientation val="minMax"/>
        </c:scaling>
        <c:delete val="0"/>
        <c:axPos val="l"/>
        <c:majorGridlines>
          <c:spPr>
            <a:ln>
              <a:solidFill>
                <a:schemeClr val="tx1">
                  <a:lumMod val="50000"/>
                  <a:lumOff val="50000"/>
                </a:schemeClr>
              </a:solidFill>
            </a:ln>
            <a:effectLst/>
          </c:spPr>
        </c:majorGridlines>
        <c:title>
          <c:tx>
            <c:rich>
              <a:bodyPr rot="-5400000" vertOverflow="ellipsis" vert="horz" anchor="ctr" anchorCtr="1"/>
              <a:lstStyle/>
              <a:p>
                <a:pPr algn="ctr">
                  <a:defRPr sz="1000" b="1">
                    <a:solidFill>
                      <a:schemeClr val="tx1"/>
                    </a:solidFill>
                    <a:latin typeface="+mn-lt"/>
                    <a:ea typeface="+mn-ea"/>
                    <a:cs typeface="+mn-cs"/>
                  </a:defRPr>
                </a:pPr>
                <a:r>
                  <a:rPr lang="es-GT"/>
                  <a:t>Hectareas</a:t>
                </a:r>
              </a:p>
            </c:rich>
          </c:tx>
          <c:overlay val="0"/>
          <c:spPr>
            <a:noFill/>
            <a:ln>
              <a:noFill/>
            </a:ln>
            <a:effectLst/>
          </c:spPr>
        </c:title>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1747488"/>
        <c:crosses val="autoZero"/>
        <c:crossBetween val="between"/>
      </c:valAx>
      <c:spPr>
        <a:solidFill>
          <a:schemeClr val="bg1"/>
        </a:solidFill>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Extensión anual de RNP</a:t>
            </a:r>
          </a:p>
        </c:rich>
      </c:tx>
      <c:overlay val="0"/>
      <c:spPr>
        <a:noFill/>
        <a:ln>
          <a:noFill/>
        </a:ln>
        <a:effectLst/>
      </c:spPr>
    </c:title>
    <c:autoTitleDeleted val="0"/>
    <c:plotArea>
      <c:layout/>
      <c:scatterChart>
        <c:scatterStyle val="smoothMarker"/>
        <c:varyColors val="0"/>
        <c:ser>
          <c:idx val="0"/>
          <c:order val="0"/>
          <c:spPr>
            <a:ln w="28575">
              <a:solidFill>
                <a:schemeClr val="accent1"/>
              </a:solidFill>
            </a:ln>
            <a:effectLst/>
          </c:spPr>
          <c:marker>
            <c:symbol val="diamond"/>
            <c:size val="7"/>
            <c:spPr>
              <a:solidFill>
                <a:schemeClr val="accent1"/>
              </a:solidFill>
              <a:ln>
                <a:solidFill>
                  <a:schemeClr val="accent1"/>
                </a:solidFill>
              </a:ln>
              <a:effectLst/>
            </c:spPr>
          </c:marker>
          <c:xVal>
            <c:numRef>
              <c:f>'Extensión Anual de RNP'!$B$4:$B$27</c:f>
              <c:numCache>
                <c:formatCode>General</c:formatCode>
                <c:ptCount val="24"/>
                <c:pt idx="0">
                  <c:v>1955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numCache>
            </c:numRef>
          </c:xVal>
          <c:yVal>
            <c:numRef>
              <c:f>'Extensión Anual de RNP'!$C$4:$C$27</c:f>
              <c:numCache>
                <c:formatCode>General</c:formatCode>
                <c:ptCount val="24"/>
                <c:pt idx="0">
                  <c:v>2239.54</c:v>
                </c:pt>
                <c:pt idx="1">
                  <c:v>455</c:v>
                </c:pt>
                <c:pt idx="2">
                  <c:v>284</c:v>
                </c:pt>
                <c:pt idx="3">
                  <c:v>1243</c:v>
                </c:pt>
                <c:pt idx="4">
                  <c:v>1571.6</c:v>
                </c:pt>
                <c:pt idx="5">
                  <c:v>1160</c:v>
                </c:pt>
                <c:pt idx="6">
                  <c:v>7839.38</c:v>
                </c:pt>
                <c:pt idx="7">
                  <c:v>6409.17</c:v>
                </c:pt>
                <c:pt idx="8">
                  <c:v>15</c:v>
                </c:pt>
                <c:pt idx="9">
                  <c:v>1724.7</c:v>
                </c:pt>
                <c:pt idx="10">
                  <c:v>308.05</c:v>
                </c:pt>
                <c:pt idx="11">
                  <c:v>19875.71</c:v>
                </c:pt>
                <c:pt idx="12">
                  <c:v>3619.38</c:v>
                </c:pt>
                <c:pt idx="13">
                  <c:v>2606.6799999999998</c:v>
                </c:pt>
                <c:pt idx="14">
                  <c:v>6880.47</c:v>
                </c:pt>
                <c:pt idx="15">
                  <c:v>896.07</c:v>
                </c:pt>
                <c:pt idx="16">
                  <c:v>739.24</c:v>
                </c:pt>
                <c:pt idx="17">
                  <c:v>431.78</c:v>
                </c:pt>
                <c:pt idx="18">
                  <c:v>3474.99</c:v>
                </c:pt>
                <c:pt idx="19">
                  <c:v>2068.21</c:v>
                </c:pt>
                <c:pt idx="20">
                  <c:v>203.1</c:v>
                </c:pt>
                <c:pt idx="21">
                  <c:v>11.298</c:v>
                </c:pt>
                <c:pt idx="22">
                  <c:v>0</c:v>
                </c:pt>
                <c:pt idx="23" formatCode="#,##0.00">
                  <c:v>675</c:v>
                </c:pt>
              </c:numCache>
            </c:numRef>
          </c:yVal>
          <c:smooth val="1"/>
          <c:extLst>
            <c:ext xmlns:c16="http://schemas.microsoft.com/office/drawing/2014/chart" uri="{C3380CC4-5D6E-409C-BE32-E72D297353CC}">
              <c16:uniqueId val="{00000000-B07C-43BD-88F0-13003B5B8F82}"/>
            </c:ext>
          </c:extLst>
        </c:ser>
        <c:dLbls>
          <c:showLegendKey val="0"/>
          <c:showVal val="0"/>
          <c:showCatName val="0"/>
          <c:showSerName val="0"/>
          <c:showPercent val="0"/>
          <c:showBubbleSize val="0"/>
        </c:dLbls>
        <c:axId val="171744352"/>
        <c:axId val="139866744"/>
      </c:scatterChart>
      <c:valAx>
        <c:axId val="171744352"/>
        <c:scaling>
          <c:orientation val="minMax"/>
        </c:scaling>
        <c:delete val="0"/>
        <c:axPos val="b"/>
        <c:title>
          <c:tx>
            <c:rich>
              <a:bodyPr vertOverflow="ellipsis" anchor="ctr" anchorCtr="1"/>
              <a:lstStyle/>
              <a:p>
                <a:pPr algn="ctr">
                  <a:defRPr sz="1000" b="1">
                    <a:solidFill>
                      <a:schemeClr val="tx1"/>
                    </a:solidFill>
                    <a:latin typeface="+mn-lt"/>
                    <a:ea typeface="+mn-ea"/>
                    <a:cs typeface="+mn-cs"/>
                  </a:defRPr>
                </a:pPr>
                <a:r>
                  <a:rPr lang="es-GT"/>
                  <a:t>Años de declaratoria</a:t>
                </a:r>
              </a:p>
            </c:rich>
          </c:tx>
          <c:overlay val="0"/>
          <c:spPr>
            <a:noFill/>
            <a:ln>
              <a:noFill/>
            </a:ln>
            <a:effectLst/>
          </c:spPr>
        </c:title>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39866744"/>
        <c:crosses val="autoZero"/>
        <c:crossBetween val="midCat"/>
      </c:valAx>
      <c:valAx>
        <c:axId val="139866744"/>
        <c:scaling>
          <c:orientation val="minMax"/>
        </c:scaling>
        <c:delete val="0"/>
        <c:axPos val="l"/>
        <c:majorGridlines>
          <c:spPr>
            <a:ln>
              <a:solidFill>
                <a:schemeClr val="tx1">
                  <a:lumMod val="50000"/>
                  <a:lumOff val="50000"/>
                </a:schemeClr>
              </a:solidFill>
            </a:ln>
            <a:effectLst/>
          </c:spPr>
        </c:majorGridlines>
        <c:title>
          <c:tx>
            <c:rich>
              <a:bodyPr vertOverflow="ellipsis" anchor="ctr" anchorCtr="1"/>
              <a:lstStyle/>
              <a:p>
                <a:pPr algn="ctr">
                  <a:defRPr sz="1000" b="1">
                    <a:solidFill>
                      <a:schemeClr val="tx1"/>
                    </a:solidFill>
                    <a:latin typeface="+mn-lt"/>
                    <a:ea typeface="+mn-ea"/>
                    <a:cs typeface="+mn-cs"/>
                  </a:defRPr>
                </a:pPr>
                <a:r>
                  <a:rPr lang="es-GT"/>
                  <a:t>Hectaraje</a:t>
                </a:r>
              </a:p>
            </c:rich>
          </c:tx>
          <c:overlay val="0"/>
          <c:spPr>
            <a:noFill/>
            <a:ln>
              <a:noFill/>
            </a:ln>
            <a:effectLst/>
          </c:spPr>
        </c:title>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1744352"/>
        <c:crosses val="autoZero"/>
        <c:crossBetween val="midCat"/>
      </c:valAx>
      <c:spPr>
        <a:solidFill>
          <a:schemeClr val="bg1"/>
        </a:solidFill>
        <a:ln>
          <a:noFill/>
        </a:ln>
        <a:effectLst/>
      </c:spPr>
    </c:plotArea>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Superficie del SIGAP por Categoría de Manejo y ZVD</a:t>
            </a:r>
          </a:p>
        </c:rich>
      </c:tx>
      <c:overlay val="0"/>
      <c:spPr>
        <a:noFill/>
        <a:ln>
          <a:noFill/>
        </a:ln>
        <a:effectLst/>
      </c:spPr>
    </c:title>
    <c:autoTitleDeleted val="0"/>
    <c:plotArea>
      <c:layout>
        <c:manualLayout>
          <c:layoutTarget val="inner"/>
          <c:xMode val="edge"/>
          <c:yMode val="edge"/>
          <c:x val="0.27460002282323398"/>
          <c:y val="0.242899420659653"/>
          <c:w val="0.441881336739262"/>
          <c:h val="0.69264745219038604"/>
        </c:manualLayout>
      </c:layout>
      <c:pieChart>
        <c:varyColors val="1"/>
        <c:ser>
          <c:idx val="0"/>
          <c:order val="0"/>
          <c:explosion val="25"/>
          <c:dPt>
            <c:idx val="0"/>
            <c:bubble3D val="0"/>
            <c:spPr>
              <a:solidFill>
                <a:schemeClr val="accent1">
                  <a:shade val="76667"/>
                </a:schemeClr>
              </a:solidFill>
              <a:ln>
                <a:noFill/>
              </a:ln>
              <a:effectLst/>
            </c:spPr>
            <c:extLst>
              <c:ext xmlns:c16="http://schemas.microsoft.com/office/drawing/2014/chart" uri="{C3380CC4-5D6E-409C-BE32-E72D297353CC}">
                <c16:uniqueId val="{00000001-E339-4903-B3A5-2A6A6C48D021}"/>
              </c:ext>
            </c:extLst>
          </c:dPt>
          <c:dPt>
            <c:idx val="1"/>
            <c:bubble3D val="0"/>
            <c:spPr>
              <a:solidFill>
                <a:schemeClr val="accent2">
                  <a:shade val="76667"/>
                </a:schemeClr>
              </a:solidFill>
              <a:ln>
                <a:noFill/>
              </a:ln>
              <a:effectLst/>
            </c:spPr>
            <c:extLst>
              <c:ext xmlns:c16="http://schemas.microsoft.com/office/drawing/2014/chart" uri="{C3380CC4-5D6E-409C-BE32-E72D297353CC}">
                <c16:uniqueId val="{00000003-E339-4903-B3A5-2A6A6C48D021}"/>
              </c:ext>
            </c:extLst>
          </c:dPt>
          <c:dPt>
            <c:idx val="2"/>
            <c:bubble3D val="0"/>
            <c:spPr>
              <a:solidFill>
                <a:schemeClr val="accent3">
                  <a:shade val="76667"/>
                </a:schemeClr>
              </a:solidFill>
              <a:ln>
                <a:noFill/>
              </a:ln>
              <a:effectLst/>
            </c:spPr>
            <c:extLst>
              <c:ext xmlns:c16="http://schemas.microsoft.com/office/drawing/2014/chart" uri="{C3380CC4-5D6E-409C-BE32-E72D297353CC}">
                <c16:uniqueId val="{00000005-E339-4903-B3A5-2A6A6C48D021}"/>
              </c:ext>
            </c:extLst>
          </c:dPt>
          <c:dPt>
            <c:idx val="3"/>
            <c:bubble3D val="0"/>
            <c:spPr>
              <a:solidFill>
                <a:schemeClr val="accent4">
                  <a:shade val="76667"/>
                </a:schemeClr>
              </a:solidFill>
              <a:ln>
                <a:noFill/>
              </a:ln>
              <a:effectLst/>
            </c:spPr>
            <c:extLst>
              <c:ext xmlns:c16="http://schemas.microsoft.com/office/drawing/2014/chart" uri="{C3380CC4-5D6E-409C-BE32-E72D297353CC}">
                <c16:uniqueId val="{00000007-E339-4903-B3A5-2A6A6C48D021}"/>
              </c:ext>
            </c:extLst>
          </c:dPt>
          <c:dPt>
            <c:idx val="4"/>
            <c:bubble3D val="0"/>
            <c:spPr>
              <a:solidFill>
                <a:schemeClr val="accent5">
                  <a:shade val="76667"/>
                </a:schemeClr>
              </a:solidFill>
              <a:ln>
                <a:noFill/>
              </a:ln>
              <a:effectLst/>
            </c:spPr>
            <c:extLst>
              <c:ext xmlns:c16="http://schemas.microsoft.com/office/drawing/2014/chart" uri="{C3380CC4-5D6E-409C-BE32-E72D297353CC}">
                <c16:uniqueId val="{00000009-E339-4903-B3A5-2A6A6C48D021}"/>
              </c:ext>
            </c:extLst>
          </c:dPt>
          <c:dPt>
            <c:idx val="5"/>
            <c:bubble3D val="0"/>
            <c:spPr>
              <a:solidFill>
                <a:schemeClr val="accent6">
                  <a:shade val="76667"/>
                </a:schemeClr>
              </a:solidFill>
              <a:ln>
                <a:noFill/>
              </a:ln>
              <a:effectLst/>
            </c:spPr>
            <c:extLst>
              <c:ext xmlns:c16="http://schemas.microsoft.com/office/drawing/2014/chart" uri="{C3380CC4-5D6E-409C-BE32-E72D297353CC}">
                <c16:uniqueId val="{0000000B-E339-4903-B3A5-2A6A6C48D021}"/>
              </c:ext>
            </c:extLst>
          </c:dPt>
          <c:dPt>
            <c:idx val="6"/>
            <c:bubble3D val="0"/>
            <c:spPr>
              <a:solidFill>
                <a:schemeClr val="accent1">
                  <a:tint val="76667"/>
                </a:schemeClr>
              </a:solidFill>
              <a:ln>
                <a:noFill/>
              </a:ln>
              <a:effectLst/>
            </c:spPr>
            <c:extLst>
              <c:ext xmlns:c16="http://schemas.microsoft.com/office/drawing/2014/chart" uri="{C3380CC4-5D6E-409C-BE32-E72D297353CC}">
                <c16:uniqueId val="{0000000D-E339-4903-B3A5-2A6A6C48D021}"/>
              </c:ext>
            </c:extLst>
          </c:dPt>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bestFit"/>
            <c:showLegendKey val="0"/>
            <c:showVal val="0"/>
            <c:showCatName val="0"/>
            <c:showSerName val="0"/>
            <c:showPercent val="1"/>
            <c:showBubbleSize val="0"/>
            <c:showLeaderLines val="1"/>
            <c:leaderLines>
              <c:spPr>
                <a:ln w="9525" cap="flat" cmpd="sng" algn="ctr">
                  <a:solidFill>
                    <a:schemeClr val="tx1"/>
                  </a:solidFill>
                  <a:prstDash val="solid"/>
                </a:ln>
                <a:effectLst/>
              </c:spPr>
            </c:leaderLines>
            <c:extLst>
              <c:ext xmlns:c15="http://schemas.microsoft.com/office/drawing/2012/chart" uri="{CE6537A1-D6FC-4f65-9D91-7224C49458BB}"/>
            </c:extLst>
          </c:dLbls>
          <c:cat>
            <c:strRef>
              <c:f>'Ha y % Categorías de manejo'!$B$23:$B$29</c:f>
              <c:strCache>
                <c:ptCount val="7"/>
                <c:pt idx="0">
                  <c:v>I</c:v>
                </c:pt>
                <c:pt idx="1">
                  <c:v>II</c:v>
                </c:pt>
                <c:pt idx="2">
                  <c:v>III</c:v>
                </c:pt>
                <c:pt idx="3">
                  <c:v>IV</c:v>
                </c:pt>
                <c:pt idx="4">
                  <c:v>V</c:v>
                </c:pt>
                <c:pt idx="5">
                  <c:v>VI</c:v>
                </c:pt>
                <c:pt idx="6">
                  <c:v>ZV</c:v>
                </c:pt>
              </c:strCache>
            </c:strRef>
          </c:cat>
          <c:val>
            <c:numRef>
              <c:f>'Ha y % Categorías de manejo'!$C$23:$C$29</c:f>
              <c:numCache>
                <c:formatCode>General</c:formatCode>
                <c:ptCount val="7"/>
                <c:pt idx="0">
                  <c:v>2.6818247544465259</c:v>
                </c:pt>
                <c:pt idx="1">
                  <c:v>2.1239956657363628</c:v>
                </c:pt>
                <c:pt idx="2">
                  <c:v>16.618807892045414</c:v>
                </c:pt>
                <c:pt idx="3">
                  <c:v>1.4296294036459618</c:v>
                </c:pt>
                <c:pt idx="4">
                  <c:v>0.88030288566523129</c:v>
                </c:pt>
                <c:pt idx="5">
                  <c:v>74.651145798928056</c:v>
                </c:pt>
                <c:pt idx="6">
                  <c:v>1.6142935995324468</c:v>
                </c:pt>
              </c:numCache>
            </c:numRef>
          </c:val>
          <c:extLst>
            <c:ext xmlns:c16="http://schemas.microsoft.com/office/drawing/2014/chart" uri="{C3380CC4-5D6E-409C-BE32-E72D297353CC}">
              <c16:uniqueId val="{0000000E-E339-4903-B3A5-2A6A6C48D021}"/>
            </c:ext>
          </c:extLst>
        </c:ser>
        <c:dLbls>
          <c:dLblPos val="bestFit"/>
          <c:showLegendKey val="0"/>
          <c:showVal val="0"/>
          <c:showCatName val="0"/>
          <c:showSerName val="0"/>
          <c:showPercent val="1"/>
          <c:showBubbleSize val="0"/>
          <c:showLeaderLines val="1"/>
        </c:dLbls>
        <c:firstSliceAng val="0"/>
      </c:pieChart>
      <c:spPr>
        <a:solidFill>
          <a:schemeClr val="bg1"/>
        </a:solidFill>
        <a:ln>
          <a:noFill/>
        </a:ln>
        <a:effectLst/>
      </c:spPr>
    </c:plotArea>
    <c:legend>
      <c:legendPos val="t"/>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Número de Áreas por Categoría de Manejo y ZVD</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'Areas por Categoria'!$F$4:$F$10</c:f>
              <c:strCache>
                <c:ptCount val="7"/>
                <c:pt idx="0">
                  <c:v>I</c:v>
                </c:pt>
                <c:pt idx="1">
                  <c:v>II</c:v>
                </c:pt>
                <c:pt idx="2">
                  <c:v>III</c:v>
                </c:pt>
                <c:pt idx="3">
                  <c:v>IV</c:v>
                </c:pt>
                <c:pt idx="4">
                  <c:v>V</c:v>
                </c:pt>
                <c:pt idx="5">
                  <c:v>VI</c:v>
                </c:pt>
                <c:pt idx="6">
                  <c:v>ZV</c:v>
                </c:pt>
              </c:strCache>
            </c:strRef>
          </c:cat>
          <c:val>
            <c:numRef>
              <c:f>'Areas por Categoria'!$G$4:$G$10</c:f>
              <c:numCache>
                <c:formatCode>General</c:formatCode>
                <c:ptCount val="7"/>
                <c:pt idx="0">
                  <c:v>22</c:v>
                </c:pt>
                <c:pt idx="1">
                  <c:v>10</c:v>
                </c:pt>
                <c:pt idx="2">
                  <c:v>16</c:v>
                </c:pt>
                <c:pt idx="3">
                  <c:v>79</c:v>
                </c:pt>
                <c:pt idx="4">
                  <c:v>186</c:v>
                </c:pt>
                <c:pt idx="5">
                  <c:v>5</c:v>
                </c:pt>
                <c:pt idx="6">
                  <c:v>30</c:v>
                </c:pt>
              </c:numCache>
            </c:numRef>
          </c:val>
          <c:extLst>
            <c:ext xmlns:c16="http://schemas.microsoft.com/office/drawing/2014/chart" uri="{C3380CC4-5D6E-409C-BE32-E72D297353CC}">
              <c16:uniqueId val="{00000000-6D1D-4217-96C5-2F72997FDF42}"/>
            </c:ext>
          </c:extLst>
        </c:ser>
        <c:dLbls>
          <c:showLegendKey val="0"/>
          <c:showVal val="0"/>
          <c:showCatName val="0"/>
          <c:showSerName val="0"/>
          <c:showPercent val="0"/>
          <c:showBubbleSize val="0"/>
        </c:dLbls>
        <c:gapWidth val="150"/>
        <c:axId val="139867920"/>
        <c:axId val="139868312"/>
      </c:barChart>
      <c:catAx>
        <c:axId val="139867920"/>
        <c:scaling>
          <c:orientation val="minMax"/>
        </c:scaling>
        <c:delete val="0"/>
        <c:axPos val="b"/>
        <c:title>
          <c:tx>
            <c:rich>
              <a:bodyPr vertOverflow="ellipsis" anchor="ctr" anchorCtr="1"/>
              <a:lstStyle/>
              <a:p>
                <a:pPr algn="ctr">
                  <a:defRPr sz="1000" b="1">
                    <a:solidFill>
                      <a:schemeClr val="tx1"/>
                    </a:solidFill>
                    <a:latin typeface="+mn-lt"/>
                    <a:ea typeface="+mn-ea"/>
                    <a:cs typeface="+mn-cs"/>
                  </a:defRPr>
                </a:pPr>
                <a:r>
                  <a:rPr lang="en-US"/>
                  <a:t>Categorías de Manejo</a:t>
                </a:r>
              </a:p>
            </c:rich>
          </c:tx>
          <c:overlay val="0"/>
          <c:spPr>
            <a:noFill/>
            <a:ln>
              <a:noFill/>
            </a:ln>
            <a:effectLst/>
          </c:spPr>
        </c:title>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39868312"/>
        <c:crosses val="autoZero"/>
        <c:auto val="1"/>
        <c:lblAlgn val="ctr"/>
        <c:lblOffset val="100"/>
        <c:tickMarkSkip val="1"/>
        <c:noMultiLvlLbl val="0"/>
      </c:catAx>
      <c:valAx>
        <c:axId val="139868312"/>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39867920"/>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baseline="0"/>
              <a:t>Áreas Protegidas del SIGAP según Administrador</a:t>
            </a:r>
            <a:endParaRPr lang="es-GT"/>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'Areas por Coadministrador'!$B$4:$B$10</c:f>
              <c:strCache>
                <c:ptCount val="7"/>
                <c:pt idx="0">
                  <c:v>CONAP</c:v>
                </c:pt>
                <c:pt idx="1">
                  <c:v>CONAP/ONG coadministradora</c:v>
                </c:pt>
                <c:pt idx="2">
                  <c:v>CECON/USAC</c:v>
                </c:pt>
                <c:pt idx="3">
                  <c:v>CONAP/INSTITUCIONES DEL ESTADO</c:v>
                </c:pt>
                <c:pt idx="4">
                  <c:v>PROPIETARIOS PRIVADOS</c:v>
                </c:pt>
                <c:pt idx="5">
                  <c:v>OTRAS INSTITUCIONES DEL ESTADO</c:v>
                </c:pt>
                <c:pt idx="6">
                  <c:v>MUNICIPALIDADES</c:v>
                </c:pt>
              </c:strCache>
            </c:strRef>
          </c:cat>
          <c:val>
            <c:numRef>
              <c:f>'Areas por Coadministrador'!$C$4:$C$10</c:f>
              <c:numCache>
                <c:formatCode>General</c:formatCode>
                <c:ptCount val="7"/>
                <c:pt idx="0">
                  <c:v>56</c:v>
                </c:pt>
                <c:pt idx="1">
                  <c:v>6</c:v>
                </c:pt>
                <c:pt idx="2">
                  <c:v>7</c:v>
                </c:pt>
                <c:pt idx="3">
                  <c:v>4</c:v>
                </c:pt>
                <c:pt idx="4">
                  <c:v>186</c:v>
                </c:pt>
                <c:pt idx="5">
                  <c:v>7</c:v>
                </c:pt>
                <c:pt idx="6">
                  <c:v>83</c:v>
                </c:pt>
              </c:numCache>
            </c:numRef>
          </c:val>
          <c:extLst>
            <c:ext xmlns:c16="http://schemas.microsoft.com/office/drawing/2014/chart" uri="{C3380CC4-5D6E-409C-BE32-E72D297353CC}">
              <c16:uniqueId val="{00000000-FD18-4019-9DF3-72D984774AA3}"/>
            </c:ext>
          </c:extLst>
        </c:ser>
        <c:dLbls>
          <c:showLegendKey val="0"/>
          <c:showVal val="0"/>
          <c:showCatName val="0"/>
          <c:showSerName val="0"/>
          <c:showPercent val="0"/>
          <c:showBubbleSize val="0"/>
        </c:dLbls>
        <c:gapWidth val="150"/>
        <c:axId val="139869096"/>
        <c:axId val="139869488"/>
      </c:barChart>
      <c:catAx>
        <c:axId val="139869096"/>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800" b="0" baseline="0">
                <a:solidFill>
                  <a:schemeClr val="tx1"/>
                </a:solidFill>
                <a:latin typeface="+mn-lt"/>
                <a:ea typeface="+mn-ea"/>
                <a:cs typeface="+mn-cs"/>
              </a:defRPr>
            </a:pPr>
            <a:endParaRPr lang="es-MX"/>
          </a:p>
        </c:txPr>
        <c:crossAx val="139869488"/>
        <c:crosses val="autoZero"/>
        <c:auto val="1"/>
        <c:lblAlgn val="ctr"/>
        <c:lblOffset val="100"/>
        <c:tickMarkSkip val="1"/>
        <c:noMultiLvlLbl val="0"/>
      </c:catAx>
      <c:valAx>
        <c:axId val="139869488"/>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39869096"/>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explosion val="25"/>
          <c:dPt>
            <c:idx val="0"/>
            <c:bubble3D val="0"/>
            <c:spPr>
              <a:solidFill>
                <a:schemeClr val="accent1">
                  <a:shade val="76667"/>
                </a:schemeClr>
              </a:solidFill>
              <a:ln>
                <a:noFill/>
              </a:ln>
              <a:effectLst/>
            </c:spPr>
            <c:extLst>
              <c:ext xmlns:c16="http://schemas.microsoft.com/office/drawing/2014/chart" uri="{C3380CC4-5D6E-409C-BE32-E72D297353CC}">
                <c16:uniqueId val="{00000001-DA80-4833-AFC8-C88339C70E53}"/>
              </c:ext>
            </c:extLst>
          </c:dPt>
          <c:dPt>
            <c:idx val="1"/>
            <c:bubble3D val="0"/>
            <c:spPr>
              <a:solidFill>
                <a:schemeClr val="accent2">
                  <a:shade val="76667"/>
                </a:schemeClr>
              </a:solidFill>
              <a:ln>
                <a:noFill/>
              </a:ln>
              <a:effectLst/>
            </c:spPr>
            <c:extLst>
              <c:ext xmlns:c16="http://schemas.microsoft.com/office/drawing/2014/chart" uri="{C3380CC4-5D6E-409C-BE32-E72D297353CC}">
                <c16:uniqueId val="{00000003-DA80-4833-AFC8-C88339C70E53}"/>
              </c:ext>
            </c:extLst>
          </c:dPt>
          <c:dPt>
            <c:idx val="2"/>
            <c:bubble3D val="0"/>
            <c:spPr>
              <a:solidFill>
                <a:schemeClr val="accent3">
                  <a:shade val="76667"/>
                </a:schemeClr>
              </a:solidFill>
              <a:ln>
                <a:noFill/>
              </a:ln>
              <a:effectLst/>
            </c:spPr>
            <c:extLst>
              <c:ext xmlns:c16="http://schemas.microsoft.com/office/drawing/2014/chart" uri="{C3380CC4-5D6E-409C-BE32-E72D297353CC}">
                <c16:uniqueId val="{00000005-DA80-4833-AFC8-C88339C70E53}"/>
              </c:ext>
            </c:extLst>
          </c:dPt>
          <c:dPt>
            <c:idx val="3"/>
            <c:bubble3D val="0"/>
            <c:spPr>
              <a:solidFill>
                <a:schemeClr val="accent4">
                  <a:shade val="76667"/>
                </a:schemeClr>
              </a:solidFill>
              <a:ln>
                <a:noFill/>
              </a:ln>
              <a:effectLst/>
            </c:spPr>
            <c:extLst>
              <c:ext xmlns:c16="http://schemas.microsoft.com/office/drawing/2014/chart" uri="{C3380CC4-5D6E-409C-BE32-E72D297353CC}">
                <c16:uniqueId val="{00000007-DA80-4833-AFC8-C88339C70E53}"/>
              </c:ext>
            </c:extLst>
          </c:dPt>
          <c:dPt>
            <c:idx val="4"/>
            <c:bubble3D val="0"/>
            <c:spPr>
              <a:solidFill>
                <a:schemeClr val="accent5">
                  <a:shade val="76667"/>
                </a:schemeClr>
              </a:solidFill>
              <a:ln>
                <a:noFill/>
              </a:ln>
              <a:effectLst/>
            </c:spPr>
            <c:extLst>
              <c:ext xmlns:c16="http://schemas.microsoft.com/office/drawing/2014/chart" uri="{C3380CC4-5D6E-409C-BE32-E72D297353CC}">
                <c16:uniqueId val="{00000009-DA80-4833-AFC8-C88339C70E53}"/>
              </c:ext>
            </c:extLst>
          </c:dPt>
          <c:dPt>
            <c:idx val="5"/>
            <c:bubble3D val="0"/>
            <c:spPr>
              <a:solidFill>
                <a:schemeClr val="accent6">
                  <a:shade val="76667"/>
                </a:schemeClr>
              </a:solidFill>
              <a:ln>
                <a:noFill/>
              </a:ln>
              <a:effectLst/>
            </c:spPr>
            <c:extLst>
              <c:ext xmlns:c16="http://schemas.microsoft.com/office/drawing/2014/chart" uri="{C3380CC4-5D6E-409C-BE32-E72D297353CC}">
                <c16:uniqueId val="{0000000B-DA80-4833-AFC8-C88339C70E53}"/>
              </c:ext>
            </c:extLst>
          </c:dPt>
          <c:dPt>
            <c:idx val="6"/>
            <c:bubble3D val="0"/>
            <c:spPr>
              <a:solidFill>
                <a:schemeClr val="accent1">
                  <a:tint val="76667"/>
                </a:schemeClr>
              </a:solidFill>
              <a:ln>
                <a:noFill/>
              </a:ln>
              <a:effectLst/>
            </c:spPr>
            <c:extLst>
              <c:ext xmlns:c16="http://schemas.microsoft.com/office/drawing/2014/chart" uri="{C3380CC4-5D6E-409C-BE32-E72D297353CC}">
                <c16:uniqueId val="{0000000D-DA80-4833-AFC8-C88339C70E53}"/>
              </c:ext>
            </c:extLst>
          </c:dPt>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bestFit"/>
            <c:showLegendKey val="0"/>
            <c:showVal val="1"/>
            <c:showCatName val="0"/>
            <c:showSerName val="0"/>
            <c:showPercent val="0"/>
            <c:showBubbleSize val="0"/>
            <c:showLeaderLines val="1"/>
            <c:leaderLines>
              <c:spPr>
                <a:ln w="9525" cap="flat" cmpd="sng" algn="ctr">
                  <a:solidFill>
                    <a:schemeClr val="tx1"/>
                  </a:solidFill>
                  <a:prstDash val="solid"/>
                </a:ln>
                <a:effectLst/>
              </c:spPr>
            </c:leaderLines>
            <c:extLst>
              <c:ext xmlns:c15="http://schemas.microsoft.com/office/drawing/2012/chart" uri="{CE6537A1-D6FC-4f65-9D91-7224C49458BB}"/>
            </c:extLst>
          </c:dLbls>
          <c:cat>
            <c:strRef>
              <c:f>'Areas por Coadministrador'!$B$15:$B$21</c:f>
              <c:strCache>
                <c:ptCount val="7"/>
                <c:pt idx="0">
                  <c:v>CONAP</c:v>
                </c:pt>
                <c:pt idx="1">
                  <c:v>CONAP/ONG coadministradora</c:v>
                </c:pt>
                <c:pt idx="2">
                  <c:v>CECON/USAC</c:v>
                </c:pt>
                <c:pt idx="3">
                  <c:v>CONAP/INSTITUCIONES DEL ESTADO</c:v>
                </c:pt>
                <c:pt idx="4">
                  <c:v>PROPIETARIOS PRIVADOS</c:v>
                </c:pt>
                <c:pt idx="5">
                  <c:v>OTRAS INSTITUCIONES DEL ESTADO</c:v>
                </c:pt>
                <c:pt idx="6">
                  <c:v>MUNICIPALIDADES</c:v>
                </c:pt>
              </c:strCache>
            </c:strRef>
          </c:cat>
          <c:val>
            <c:numRef>
              <c:f>'Areas por Coadministrador'!$C$15:$C$21</c:f>
              <c:numCache>
                <c:formatCode>General</c:formatCode>
                <c:ptCount val="7"/>
                <c:pt idx="0">
                  <c:v>0</c:v>
                </c:pt>
                <c:pt idx="1">
                  <c:v>0</c:v>
                </c:pt>
                <c:pt idx="2">
                  <c:v>0</c:v>
                </c:pt>
                <c:pt idx="3">
                  <c:v>0</c:v>
                </c:pt>
                <c:pt idx="4" formatCode="#,##0.00">
                  <c:v>0</c:v>
                </c:pt>
                <c:pt idx="5">
                  <c:v>0</c:v>
                </c:pt>
                <c:pt idx="6">
                  <c:v>0</c:v>
                </c:pt>
              </c:numCache>
            </c:numRef>
          </c:val>
          <c:extLst>
            <c:ext xmlns:c16="http://schemas.microsoft.com/office/drawing/2014/chart" uri="{C3380CC4-5D6E-409C-BE32-E72D297353CC}">
              <c16:uniqueId val="{0000000E-DA80-4833-AFC8-C88339C70E53}"/>
            </c:ext>
          </c:extLst>
        </c:ser>
        <c:dLbls>
          <c:showLegendKey val="0"/>
          <c:showVal val="0"/>
          <c:showCatName val="0"/>
          <c:showSerName val="0"/>
          <c:showPercent val="0"/>
          <c:showBubbleSize val="0"/>
          <c:showLeaderLines val="1"/>
        </c:dLbls>
        <c:firstSliceAng val="0"/>
      </c:pieChart>
      <c:spPr>
        <a:solidFill>
          <a:schemeClr val="bg1"/>
        </a:solidFill>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'Guardarrecursos por año'!$B$4:$B$12</c:f>
              <c:numCache>
                <c:formatCode>General</c:formatCode>
                <c:ptCount val="9"/>
                <c:pt idx="0">
                  <c:v>2009</c:v>
                </c:pt>
                <c:pt idx="1">
                  <c:v>2010</c:v>
                </c:pt>
                <c:pt idx="2">
                  <c:v>2011</c:v>
                </c:pt>
                <c:pt idx="3">
                  <c:v>2012</c:v>
                </c:pt>
                <c:pt idx="4">
                  <c:v>2013</c:v>
                </c:pt>
                <c:pt idx="5">
                  <c:v>2014</c:v>
                </c:pt>
                <c:pt idx="6">
                  <c:v>2015</c:v>
                </c:pt>
                <c:pt idx="7">
                  <c:v>2016</c:v>
                </c:pt>
                <c:pt idx="8">
                  <c:v>2017</c:v>
                </c:pt>
              </c:numCache>
            </c:numRef>
          </c:cat>
          <c:val>
            <c:numRef>
              <c:f>'Guardarrecursos por año'!$C$4:$C$12</c:f>
              <c:numCache>
                <c:formatCode>General</c:formatCode>
                <c:ptCount val="9"/>
                <c:pt idx="0">
                  <c:v>430</c:v>
                </c:pt>
                <c:pt idx="1">
                  <c:v>432</c:v>
                </c:pt>
                <c:pt idx="2">
                  <c:v>437</c:v>
                </c:pt>
                <c:pt idx="3">
                  <c:v>440</c:v>
                </c:pt>
                <c:pt idx="4">
                  <c:v>421</c:v>
                </c:pt>
                <c:pt idx="5">
                  <c:v>404</c:v>
                </c:pt>
                <c:pt idx="6">
                  <c:v>389</c:v>
                </c:pt>
                <c:pt idx="7">
                  <c:v>0</c:v>
                </c:pt>
                <c:pt idx="8">
                  <c:v>523</c:v>
                </c:pt>
              </c:numCache>
            </c:numRef>
          </c:val>
          <c:extLst>
            <c:ext xmlns:c16="http://schemas.microsoft.com/office/drawing/2014/chart" uri="{C3380CC4-5D6E-409C-BE32-E72D297353CC}">
              <c16:uniqueId val="{00000000-A463-4446-BAF7-421DF09CC7F0}"/>
            </c:ext>
          </c:extLst>
        </c:ser>
        <c:dLbls>
          <c:showLegendKey val="0"/>
          <c:showVal val="0"/>
          <c:showCatName val="0"/>
          <c:showSerName val="0"/>
          <c:showPercent val="0"/>
          <c:showBubbleSize val="0"/>
        </c:dLbls>
        <c:gapWidth val="150"/>
        <c:axId val="172384232"/>
        <c:axId val="172384624"/>
      </c:barChart>
      <c:catAx>
        <c:axId val="172384232"/>
        <c:scaling>
          <c:orientation val="minMax"/>
        </c:scaling>
        <c:delete val="0"/>
        <c:axPos val="b"/>
        <c:numFmt formatCode="General" sourceLinked="1"/>
        <c:majorTickMark val="out"/>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2384624"/>
        <c:crosses val="autoZero"/>
        <c:auto val="1"/>
        <c:lblAlgn val="ctr"/>
        <c:lblOffset val="100"/>
        <c:tickMarkSkip val="1"/>
        <c:noMultiLvlLbl val="0"/>
      </c:catAx>
      <c:valAx>
        <c:axId val="172384624"/>
        <c:scaling>
          <c:orientation val="minMax"/>
        </c:scaling>
        <c:delete val="0"/>
        <c:axPos val="l"/>
        <c:majorGridlines>
          <c:spPr>
            <a:ln>
              <a:solidFill>
                <a:schemeClr val="tx1">
                  <a:lumMod val="50000"/>
                  <a:lumOff val="50000"/>
                </a:schemeClr>
              </a:solidFill>
            </a:ln>
            <a:effectLst/>
          </c:spPr>
        </c:majorGridlines>
        <c:numFmt formatCode="General" sourceLinked="1"/>
        <c:majorTickMark val="out"/>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2384232"/>
        <c:crosses val="autoZero"/>
        <c:crossBetween val="between"/>
      </c:valAx>
      <c:spPr>
        <a:solidFill>
          <a:schemeClr val="bg1"/>
        </a:solidFill>
        <a:ln>
          <a:noFill/>
        </a:ln>
        <a:effectLst/>
      </c:spPr>
    </c:plotArea>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Presupuesto Ejecutado por CONAP</a:t>
            </a:r>
          </a:p>
        </c:rich>
      </c:tx>
      <c:overlay val="0"/>
      <c:spPr>
        <a:noFill/>
        <a:ln>
          <a:noFill/>
        </a:ln>
        <a:effectLst/>
      </c:spPr>
    </c:title>
    <c:autoTitleDeleted val="0"/>
    <c:plotArea>
      <c:layout/>
      <c:scatterChart>
        <c:scatterStyle val="smoothMarker"/>
        <c:varyColors val="0"/>
        <c:ser>
          <c:idx val="0"/>
          <c:order val="0"/>
          <c:spPr>
            <a:ln w="28575">
              <a:solidFill>
                <a:schemeClr val="accent1"/>
              </a:solidFill>
            </a:ln>
            <a:effectLst/>
          </c:spPr>
          <c:marker>
            <c:symbol val="diamond"/>
            <c:size val="7"/>
            <c:spPr>
              <a:solidFill>
                <a:schemeClr val="accent1"/>
              </a:solidFill>
              <a:ln>
                <a:solidFill>
                  <a:schemeClr val="accent1"/>
                </a:solidFill>
              </a:ln>
              <a:effectLst/>
            </c:spPr>
          </c:marker>
          <c:xVal>
            <c:numRef>
              <c:f>'Presupuesto ejecutado por conap'!$B$12:$B$19</c:f>
              <c:numCache>
                <c:formatCode>General</c:formatCode>
                <c:ptCount val="8"/>
                <c:pt idx="0">
                  <c:v>2008</c:v>
                </c:pt>
                <c:pt idx="1">
                  <c:v>2009</c:v>
                </c:pt>
                <c:pt idx="2">
                  <c:v>2010</c:v>
                </c:pt>
                <c:pt idx="3">
                  <c:v>2011</c:v>
                </c:pt>
                <c:pt idx="4">
                  <c:v>2012</c:v>
                </c:pt>
                <c:pt idx="5">
                  <c:v>2013</c:v>
                </c:pt>
                <c:pt idx="6">
                  <c:v>2014</c:v>
                </c:pt>
                <c:pt idx="7">
                  <c:v>2015</c:v>
                </c:pt>
              </c:numCache>
            </c:numRef>
          </c:xVal>
          <c:yVal>
            <c:numRef>
              <c:f>'Presupuesto ejecutado por conap'!$C$12:$C$19</c:f>
              <c:numCache>
                <c:formatCode>#,##0</c:formatCode>
                <c:ptCount val="8"/>
                <c:pt idx="0">
                  <c:v>44048843</c:v>
                </c:pt>
                <c:pt idx="1">
                  <c:v>61497453</c:v>
                </c:pt>
                <c:pt idx="2">
                  <c:v>63644679</c:v>
                </c:pt>
                <c:pt idx="3" formatCode="#,##0.00">
                  <c:v>89580207.519999996</c:v>
                </c:pt>
                <c:pt idx="4" formatCode="#,##0.00">
                  <c:v>71905986.120000005</c:v>
                </c:pt>
                <c:pt idx="5" formatCode="#,##0.00">
                  <c:v>72421917.900000006</c:v>
                </c:pt>
                <c:pt idx="6" formatCode="#,##0.00">
                  <c:v>82803742.079999998</c:v>
                </c:pt>
                <c:pt idx="7" formatCode="#,##0.00">
                  <c:v>82287209.290000007</c:v>
                </c:pt>
              </c:numCache>
            </c:numRef>
          </c:yVal>
          <c:smooth val="1"/>
          <c:extLst>
            <c:ext xmlns:c16="http://schemas.microsoft.com/office/drawing/2014/chart" uri="{C3380CC4-5D6E-409C-BE32-E72D297353CC}">
              <c16:uniqueId val="{00000000-8B8C-4AED-844D-6CDD97EC85E5}"/>
            </c:ext>
          </c:extLst>
        </c:ser>
        <c:dLbls>
          <c:showLegendKey val="0"/>
          <c:showVal val="0"/>
          <c:showCatName val="0"/>
          <c:showSerName val="0"/>
          <c:showPercent val="0"/>
          <c:showBubbleSize val="0"/>
        </c:dLbls>
        <c:axId val="172385408"/>
        <c:axId val="172385800"/>
      </c:scatterChart>
      <c:valAx>
        <c:axId val="172385408"/>
        <c:scaling>
          <c:orientation val="minMax"/>
        </c:scaling>
        <c:delete val="0"/>
        <c:axPos val="b"/>
        <c:title>
          <c:tx>
            <c:rich>
              <a:bodyPr vertOverflow="ellipsis" anchor="ctr" anchorCtr="1"/>
              <a:lstStyle/>
              <a:p>
                <a:pPr algn="ctr">
                  <a:defRPr sz="1000" b="1">
                    <a:solidFill>
                      <a:schemeClr val="tx1"/>
                    </a:solidFill>
                    <a:latin typeface="+mn-lt"/>
                    <a:ea typeface="+mn-ea"/>
                    <a:cs typeface="+mn-cs"/>
                  </a:defRPr>
                </a:pPr>
                <a:r>
                  <a:rPr lang="es-GT"/>
                  <a:t>Años</a:t>
                </a:r>
              </a:p>
            </c:rich>
          </c:tx>
          <c:overlay val="0"/>
          <c:spPr>
            <a:noFill/>
            <a:ln>
              <a:noFill/>
            </a:ln>
            <a:effectLst/>
          </c:spPr>
        </c:title>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2385800"/>
        <c:crosses val="autoZero"/>
        <c:crossBetween val="midCat"/>
      </c:valAx>
      <c:valAx>
        <c:axId val="172385800"/>
        <c:scaling>
          <c:orientation val="minMax"/>
        </c:scaling>
        <c:delete val="0"/>
        <c:axPos val="l"/>
        <c:majorGridlines>
          <c:spPr>
            <a:ln>
              <a:solidFill>
                <a:schemeClr val="tx1">
                  <a:lumMod val="50000"/>
                  <a:lumOff val="50000"/>
                </a:schemeClr>
              </a:solidFill>
            </a:ln>
            <a:effectLst/>
          </c:spPr>
        </c:majorGridlines>
        <c:title>
          <c:tx>
            <c:rich>
              <a:bodyPr vertOverflow="ellipsis" anchor="ctr" anchorCtr="1"/>
              <a:lstStyle/>
              <a:p>
                <a:pPr algn="ctr">
                  <a:defRPr sz="1000" b="1">
                    <a:solidFill>
                      <a:schemeClr val="tx1"/>
                    </a:solidFill>
                    <a:latin typeface="+mn-lt"/>
                    <a:ea typeface="+mn-ea"/>
                    <a:cs typeface="+mn-cs"/>
                  </a:defRPr>
                </a:pPr>
                <a:r>
                  <a:rPr lang="es-GT"/>
                  <a:t>Millones</a:t>
                </a:r>
                <a:r>
                  <a:rPr lang="es-GT" baseline="0"/>
                  <a:t> de Quetzales</a:t>
                </a:r>
                <a:endParaRPr lang="es-GT"/>
              </a:p>
            </c:rich>
          </c:tx>
          <c:overlay val="0"/>
          <c:spPr>
            <a:noFill/>
            <a:ln>
              <a:noFill/>
            </a:ln>
            <a:effectLst/>
          </c:spPr>
        </c:title>
        <c:numFmt formatCode="#,##0"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2385408"/>
        <c:crosses val="autoZero"/>
        <c:crossBetween val="midCat"/>
      </c:valAx>
      <c:spPr>
        <a:solidFill>
          <a:schemeClr val="bg1"/>
        </a:solidFill>
        <a:ln>
          <a:noFill/>
        </a:ln>
        <a:effectLst/>
      </c:spPr>
    </c:plotArea>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n-US"/>
              <a:t>Número de Parques Nacionales por Región</a:t>
            </a:r>
          </a:p>
        </c:rich>
      </c:tx>
      <c:overlay val="0"/>
      <c:spPr>
        <a:noFill/>
        <a:ln>
          <a:noFill/>
        </a:ln>
        <a:effectLst/>
      </c:spPr>
    </c:title>
    <c:autoTitleDeleted val="0"/>
    <c:plotArea>
      <c:layout/>
      <c:barChart>
        <c:barDir val="col"/>
        <c:grouping val="clustered"/>
        <c:varyColors val="0"/>
        <c:ser>
          <c:idx val="0"/>
          <c:order val="0"/>
          <c:tx>
            <c:strRef>
              <c:f>'Ha por Región y Cat Manejo'!$B$48</c:f>
              <c:strCache>
                <c:ptCount val="1"/>
                <c:pt idx="0">
                  <c:v>Parque Nacional</c:v>
                </c:pt>
              </c:strCache>
            </c:strRef>
          </c:tx>
          <c:spPr>
            <a:solidFill>
              <a:schemeClr val="accent1"/>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Manejo'!$A$49:$A$59</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Manejo'!$B$49:$B$59</c:f>
              <c:numCache>
                <c:formatCode>General</c:formatCode>
                <c:ptCount val="11"/>
                <c:pt idx="0">
                  <c:v>6</c:v>
                </c:pt>
                <c:pt idx="1">
                  <c:v>3</c:v>
                </c:pt>
                <c:pt idx="2">
                  <c:v>2</c:v>
                </c:pt>
                <c:pt idx="3">
                  <c:v>2</c:v>
                </c:pt>
                <c:pt idx="4">
                  <c:v>0</c:v>
                </c:pt>
                <c:pt idx="5">
                  <c:v>2</c:v>
                </c:pt>
                <c:pt idx="6">
                  <c:v>2</c:v>
                </c:pt>
                <c:pt idx="7">
                  <c:v>1</c:v>
                </c:pt>
                <c:pt idx="8">
                  <c:v>2</c:v>
                </c:pt>
                <c:pt idx="9">
                  <c:v>1</c:v>
                </c:pt>
                <c:pt idx="10">
                  <c:v>0</c:v>
                </c:pt>
              </c:numCache>
            </c:numRef>
          </c:val>
          <c:extLst>
            <c:ext xmlns:c16="http://schemas.microsoft.com/office/drawing/2014/chart" uri="{C3380CC4-5D6E-409C-BE32-E72D297353CC}">
              <c16:uniqueId val="{00000000-8341-4660-8374-E13FB50998DB}"/>
            </c:ext>
          </c:extLst>
        </c:ser>
        <c:ser>
          <c:idx val="1"/>
          <c:order val="1"/>
          <c:tx>
            <c:strRef>
              <c:f>'Ha por Región y Cat Manejo'!$C$48</c:f>
              <c:strCache>
                <c:ptCount val="1"/>
                <c:pt idx="0">
                  <c:v>Ha</c:v>
                </c:pt>
              </c:strCache>
            </c:strRef>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Manejo'!$A$49:$A$59</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Manejo'!$C$49:$C$59</c:f>
              <c:numCache>
                <c:formatCode>General</c:formatCode>
                <c:ptCount val="11"/>
                <c:pt idx="0">
                  <c:v>0</c:v>
                </c:pt>
                <c:pt idx="1">
                  <c:v>14394.26</c:v>
                </c:pt>
                <c:pt idx="2">
                  <c:v>65.209999999999994</c:v>
                </c:pt>
                <c:pt idx="3">
                  <c:v>240.48</c:v>
                </c:pt>
                <c:pt idx="4">
                  <c:v>0</c:v>
                </c:pt>
                <c:pt idx="5">
                  <c:v>13008</c:v>
                </c:pt>
                <c:pt idx="6">
                  <c:v>902</c:v>
                </c:pt>
                <c:pt idx="7">
                  <c:v>73</c:v>
                </c:pt>
                <c:pt idx="8">
                  <c:v>3049.5182</c:v>
                </c:pt>
                <c:pt idx="9">
                  <c:v>491</c:v>
                </c:pt>
                <c:pt idx="10">
                  <c:v>0</c:v>
                </c:pt>
              </c:numCache>
            </c:numRef>
          </c:val>
          <c:extLst>
            <c:ext xmlns:c16="http://schemas.microsoft.com/office/drawing/2014/chart" uri="{C3380CC4-5D6E-409C-BE32-E72D297353CC}">
              <c16:uniqueId val="{00000001-8341-4660-8374-E13FB50998DB}"/>
            </c:ext>
          </c:extLst>
        </c:ser>
        <c:dLbls>
          <c:dLblPos val="outEnd"/>
          <c:showLegendKey val="0"/>
          <c:showVal val="1"/>
          <c:showCatName val="0"/>
          <c:showSerName val="0"/>
          <c:showPercent val="0"/>
          <c:showBubbleSize val="0"/>
        </c:dLbls>
        <c:gapWidth val="150"/>
        <c:axId val="140865520"/>
        <c:axId val="140866928"/>
      </c:barChart>
      <c:catAx>
        <c:axId val="140865520"/>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0866928"/>
        <c:crosses val="autoZero"/>
        <c:auto val="1"/>
        <c:lblAlgn val="ctr"/>
        <c:lblOffset val="100"/>
        <c:tickMarkSkip val="1"/>
        <c:noMultiLvlLbl val="0"/>
      </c:catAx>
      <c:valAx>
        <c:axId val="140866928"/>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0865520"/>
        <c:crosses val="autoZero"/>
        <c:crossBetween val="between"/>
      </c:valAx>
      <c:spPr>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sz="1200"/>
              <a:t>Registro de Proyectos de Investigación en Áreas</a:t>
            </a:r>
            <a:r>
              <a:rPr lang="es-GT" sz="1200" baseline="0"/>
              <a:t> Protegidas y Diversidad Biológica</a:t>
            </a:r>
            <a:endParaRPr lang="es-GT" sz="1200"/>
          </a:p>
        </c:rich>
      </c:tx>
      <c:overlay val="0"/>
      <c:spPr>
        <a:noFill/>
        <a:ln>
          <a:noFill/>
        </a:ln>
        <a:effectLst/>
      </c:spPr>
    </c:title>
    <c:autoTitleDeleted val="0"/>
    <c:plotArea>
      <c:layout/>
      <c:scatterChart>
        <c:scatterStyle val="smoothMarker"/>
        <c:varyColors val="0"/>
        <c:ser>
          <c:idx val="0"/>
          <c:order val="0"/>
          <c:spPr>
            <a:ln w="28575">
              <a:solidFill>
                <a:schemeClr val="accent1"/>
              </a:solidFill>
            </a:ln>
            <a:effectLst/>
          </c:spPr>
          <c:marker>
            <c:symbol val="diamond"/>
            <c:size val="7"/>
            <c:spPr>
              <a:solidFill>
                <a:schemeClr val="accent1"/>
              </a:solidFill>
              <a:ln>
                <a:solidFill>
                  <a:schemeClr val="accent1"/>
                </a:solidFill>
              </a:ln>
              <a:effectLst/>
            </c:spPr>
          </c:marker>
          <c:xVal>
            <c:numRef>
              <c:f>'registro de proyectos'!$B$5:$B$31</c:f>
              <c:numCache>
                <c:formatCode>General</c:formatCode>
                <c:ptCount val="27"/>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numCache>
            </c:numRef>
          </c:xVal>
          <c:yVal>
            <c:numRef>
              <c:f>'registro de proyectos'!$C$5:$C$31</c:f>
              <c:numCache>
                <c:formatCode>General</c:formatCode>
                <c:ptCount val="27"/>
                <c:pt idx="0">
                  <c:v>1</c:v>
                </c:pt>
                <c:pt idx="1">
                  <c:v>17</c:v>
                </c:pt>
                <c:pt idx="2">
                  <c:v>21</c:v>
                </c:pt>
                <c:pt idx="3">
                  <c:v>30</c:v>
                </c:pt>
                <c:pt idx="4">
                  <c:v>32</c:v>
                </c:pt>
                <c:pt idx="5">
                  <c:v>26</c:v>
                </c:pt>
                <c:pt idx="6">
                  <c:v>23</c:v>
                </c:pt>
                <c:pt idx="7">
                  <c:v>22</c:v>
                </c:pt>
                <c:pt idx="8">
                  <c:v>23</c:v>
                </c:pt>
                <c:pt idx="9">
                  <c:v>49</c:v>
                </c:pt>
                <c:pt idx="10">
                  <c:v>39</c:v>
                </c:pt>
                <c:pt idx="11">
                  <c:v>45</c:v>
                </c:pt>
                <c:pt idx="12">
                  <c:v>33</c:v>
                </c:pt>
                <c:pt idx="13">
                  <c:v>27</c:v>
                </c:pt>
                <c:pt idx="14">
                  <c:v>14</c:v>
                </c:pt>
                <c:pt idx="15">
                  <c:v>18</c:v>
                </c:pt>
                <c:pt idx="16">
                  <c:v>31</c:v>
                </c:pt>
                <c:pt idx="17">
                  <c:v>21</c:v>
                </c:pt>
                <c:pt idx="18">
                  <c:v>15</c:v>
                </c:pt>
                <c:pt idx="19">
                  <c:v>15</c:v>
                </c:pt>
                <c:pt idx="20">
                  <c:v>4</c:v>
                </c:pt>
                <c:pt idx="21">
                  <c:v>19</c:v>
                </c:pt>
                <c:pt idx="22">
                  <c:v>22</c:v>
                </c:pt>
                <c:pt idx="23">
                  <c:v>6</c:v>
                </c:pt>
                <c:pt idx="24">
                  <c:v>29</c:v>
                </c:pt>
                <c:pt idx="25">
                  <c:v>21</c:v>
                </c:pt>
                <c:pt idx="26">
                  <c:v>25</c:v>
                </c:pt>
              </c:numCache>
            </c:numRef>
          </c:yVal>
          <c:smooth val="1"/>
          <c:extLst>
            <c:ext xmlns:c16="http://schemas.microsoft.com/office/drawing/2014/chart" uri="{C3380CC4-5D6E-409C-BE32-E72D297353CC}">
              <c16:uniqueId val="{00000000-872B-45C9-8AA5-3DB990F10224}"/>
            </c:ext>
          </c:extLst>
        </c:ser>
        <c:dLbls>
          <c:showLegendKey val="0"/>
          <c:showVal val="0"/>
          <c:showCatName val="0"/>
          <c:showSerName val="0"/>
          <c:showPercent val="0"/>
          <c:showBubbleSize val="0"/>
        </c:dLbls>
        <c:axId val="172386584"/>
        <c:axId val="172386976"/>
      </c:scatterChart>
      <c:valAx>
        <c:axId val="172386584"/>
        <c:scaling>
          <c:orientation val="minMax"/>
        </c:scaling>
        <c:delete val="0"/>
        <c:axPos val="b"/>
        <c:title>
          <c:tx>
            <c:rich>
              <a:bodyPr vertOverflow="ellipsis" anchor="ctr" anchorCtr="1"/>
              <a:lstStyle/>
              <a:p>
                <a:pPr algn="ctr">
                  <a:defRPr sz="1000" b="1">
                    <a:solidFill>
                      <a:schemeClr val="tx1"/>
                    </a:solidFill>
                    <a:latin typeface="+mn-lt"/>
                    <a:ea typeface="+mn-ea"/>
                    <a:cs typeface="+mn-cs"/>
                  </a:defRPr>
                </a:pPr>
                <a:r>
                  <a:rPr lang="es-GT"/>
                  <a:t>Años en que se da el Registro</a:t>
                </a:r>
              </a:p>
            </c:rich>
          </c:tx>
          <c:overlay val="0"/>
          <c:spPr>
            <a:noFill/>
            <a:ln>
              <a:noFill/>
            </a:ln>
            <a:effectLst/>
          </c:spPr>
        </c:title>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2386976"/>
        <c:crosses val="autoZero"/>
        <c:crossBetween val="midCat"/>
      </c:valAx>
      <c:valAx>
        <c:axId val="172386976"/>
        <c:scaling>
          <c:orientation val="minMax"/>
        </c:scaling>
        <c:delete val="0"/>
        <c:axPos val="l"/>
        <c:majorGridlines>
          <c:spPr>
            <a:ln>
              <a:solidFill>
                <a:schemeClr val="tx1">
                  <a:lumMod val="50000"/>
                  <a:lumOff val="50000"/>
                </a:schemeClr>
              </a:solidFill>
            </a:ln>
            <a:effectLst/>
          </c:spPr>
        </c:majorGridlines>
        <c:title>
          <c:tx>
            <c:rich>
              <a:bodyPr vertOverflow="ellipsis" anchor="ctr" anchorCtr="1"/>
              <a:lstStyle/>
              <a:p>
                <a:pPr algn="ctr">
                  <a:defRPr sz="1000" b="1">
                    <a:solidFill>
                      <a:schemeClr val="tx1"/>
                    </a:solidFill>
                    <a:latin typeface="+mn-lt"/>
                    <a:ea typeface="+mn-ea"/>
                    <a:cs typeface="+mn-cs"/>
                  </a:defRPr>
                </a:pPr>
                <a:r>
                  <a:rPr lang="es-GT"/>
                  <a:t>Número</a:t>
                </a:r>
                <a:r>
                  <a:rPr lang="es-GT" baseline="0"/>
                  <a:t> de Registros</a:t>
                </a:r>
                <a:endParaRPr lang="es-GT"/>
              </a:p>
            </c:rich>
          </c:tx>
          <c:overlay val="0"/>
          <c:spPr>
            <a:noFill/>
            <a:ln>
              <a:noFill/>
            </a:ln>
            <a:effectLst/>
          </c:spPr>
        </c:title>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2386584"/>
        <c:crosses val="autoZero"/>
        <c:crossBetween val="midCat"/>
      </c:valAx>
      <c:spPr>
        <a:solidFill>
          <a:schemeClr val="bg1"/>
        </a:solidFill>
        <a:ln>
          <a:noFill/>
        </a:ln>
        <a:effectLst/>
      </c:spPr>
    </c:plotArea>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sz="1200"/>
              <a:t>Participación de CONAP en medios de comunicación </a:t>
            </a:r>
          </a:p>
        </c:rich>
      </c:tx>
      <c:overlay val="0"/>
      <c:spPr>
        <a:noFill/>
        <a:ln>
          <a:noFill/>
        </a:ln>
        <a:effectLst/>
      </c:spPr>
    </c:title>
    <c:autoTitleDeleted val="0"/>
    <c:plotArea>
      <c:layout/>
      <c:barChart>
        <c:barDir val="col"/>
        <c:grouping val="clustered"/>
        <c:varyColors val="0"/>
        <c:ser>
          <c:idx val="0"/>
          <c:order val="0"/>
          <c:tx>
            <c:v>año 2013</c:v>
          </c:tx>
          <c:spPr>
            <a:solidFill>
              <a:schemeClr val="accent1"/>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'medios de comunicación'!$B$5:$B$8</c:f>
              <c:strCache>
                <c:ptCount val="4"/>
                <c:pt idx="0">
                  <c:v>Radio</c:v>
                </c:pt>
                <c:pt idx="1">
                  <c:v>TV</c:v>
                </c:pt>
                <c:pt idx="2">
                  <c:v>WEB</c:v>
                </c:pt>
                <c:pt idx="3">
                  <c:v>Medios Escritos</c:v>
                </c:pt>
              </c:strCache>
            </c:strRef>
          </c:cat>
          <c:val>
            <c:numRef>
              <c:f>'medios de comunicación'!$C$5:$C$8</c:f>
              <c:numCache>
                <c:formatCode>General</c:formatCode>
                <c:ptCount val="4"/>
                <c:pt idx="0">
                  <c:v>13</c:v>
                </c:pt>
                <c:pt idx="1">
                  <c:v>14</c:v>
                </c:pt>
                <c:pt idx="2">
                  <c:v>12</c:v>
                </c:pt>
                <c:pt idx="3">
                  <c:v>61</c:v>
                </c:pt>
              </c:numCache>
            </c:numRef>
          </c:val>
          <c:extLst>
            <c:ext xmlns:c16="http://schemas.microsoft.com/office/drawing/2014/chart" uri="{C3380CC4-5D6E-409C-BE32-E72D297353CC}">
              <c16:uniqueId val="{00000000-F550-40F3-BAF8-01AFEEE54181}"/>
            </c:ext>
          </c:extLst>
        </c:ser>
        <c:ser>
          <c:idx val="1"/>
          <c:order val="1"/>
          <c:tx>
            <c:v>año 2014</c:v>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'medios de comunicación'!$B$5:$B$8</c:f>
              <c:strCache>
                <c:ptCount val="4"/>
                <c:pt idx="0">
                  <c:v>Radio</c:v>
                </c:pt>
                <c:pt idx="1">
                  <c:v>TV</c:v>
                </c:pt>
                <c:pt idx="2">
                  <c:v>WEB</c:v>
                </c:pt>
                <c:pt idx="3">
                  <c:v>Medios Escritos</c:v>
                </c:pt>
              </c:strCache>
            </c:strRef>
          </c:cat>
          <c:val>
            <c:numRef>
              <c:f>'medios de comunicación'!$D$5:$D$8</c:f>
              <c:numCache>
                <c:formatCode>General</c:formatCode>
                <c:ptCount val="4"/>
                <c:pt idx="0">
                  <c:v>20</c:v>
                </c:pt>
                <c:pt idx="1">
                  <c:v>35</c:v>
                </c:pt>
                <c:pt idx="2">
                  <c:v>15</c:v>
                </c:pt>
                <c:pt idx="3">
                  <c:v>35</c:v>
                </c:pt>
              </c:numCache>
            </c:numRef>
          </c:val>
          <c:extLst>
            <c:ext xmlns:c16="http://schemas.microsoft.com/office/drawing/2014/chart" uri="{C3380CC4-5D6E-409C-BE32-E72D297353CC}">
              <c16:uniqueId val="{00000001-F550-40F3-BAF8-01AFEEE54181}"/>
            </c:ext>
          </c:extLst>
        </c:ser>
        <c:ser>
          <c:idx val="2"/>
          <c:order val="2"/>
          <c:tx>
            <c:v>año 2015</c:v>
          </c:tx>
          <c:spPr>
            <a:solidFill>
              <a:schemeClr val="accent3"/>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'medios de comunicación'!$B$5:$B$8</c:f>
              <c:strCache>
                <c:ptCount val="4"/>
                <c:pt idx="0">
                  <c:v>Radio</c:v>
                </c:pt>
                <c:pt idx="1">
                  <c:v>TV</c:v>
                </c:pt>
                <c:pt idx="2">
                  <c:v>WEB</c:v>
                </c:pt>
                <c:pt idx="3">
                  <c:v>Medios Escritos</c:v>
                </c:pt>
              </c:strCache>
            </c:strRef>
          </c:cat>
          <c:val>
            <c:numRef>
              <c:f>'medios de comunicación'!$E$5:$E$8</c:f>
              <c:numCache>
                <c:formatCode>General</c:formatCode>
                <c:ptCount val="4"/>
                <c:pt idx="0">
                  <c:v>15</c:v>
                </c:pt>
                <c:pt idx="1">
                  <c:v>30</c:v>
                </c:pt>
                <c:pt idx="2">
                  <c:v>15</c:v>
                </c:pt>
                <c:pt idx="3">
                  <c:v>40</c:v>
                </c:pt>
              </c:numCache>
            </c:numRef>
          </c:val>
          <c:extLst>
            <c:ext xmlns:c16="http://schemas.microsoft.com/office/drawing/2014/chart" uri="{C3380CC4-5D6E-409C-BE32-E72D297353CC}">
              <c16:uniqueId val="{00000002-F550-40F3-BAF8-01AFEEE54181}"/>
            </c:ext>
          </c:extLst>
        </c:ser>
        <c:dLbls>
          <c:dLblPos val="outEnd"/>
          <c:showLegendKey val="0"/>
          <c:showVal val="1"/>
          <c:showCatName val="0"/>
          <c:showSerName val="0"/>
          <c:showPercent val="0"/>
          <c:showBubbleSize val="0"/>
        </c:dLbls>
        <c:gapWidth val="150"/>
        <c:axId val="172387760"/>
        <c:axId val="172828664"/>
      </c:barChart>
      <c:catAx>
        <c:axId val="172387760"/>
        <c:scaling>
          <c:orientation val="minMax"/>
        </c:scaling>
        <c:delete val="0"/>
        <c:axPos val="b"/>
        <c:title>
          <c:tx>
            <c:rich>
              <a:bodyPr vertOverflow="ellipsis" anchor="ctr" anchorCtr="1"/>
              <a:lstStyle/>
              <a:p>
                <a:pPr algn="ctr">
                  <a:defRPr sz="1000" b="1">
                    <a:solidFill>
                      <a:schemeClr val="tx1"/>
                    </a:solidFill>
                    <a:latin typeface="+mn-lt"/>
                    <a:ea typeface="+mn-ea"/>
                    <a:cs typeface="+mn-cs"/>
                  </a:defRPr>
                </a:pPr>
                <a:r>
                  <a:rPr lang="es-GT"/>
                  <a:t>Medio de Comunicación</a:t>
                </a:r>
              </a:p>
            </c:rich>
          </c:tx>
          <c:overlay val="0"/>
          <c:spPr>
            <a:noFill/>
            <a:ln>
              <a:noFill/>
            </a:ln>
            <a:effectLst/>
          </c:spPr>
        </c:title>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2828664"/>
        <c:crosses val="autoZero"/>
        <c:auto val="1"/>
        <c:lblAlgn val="ctr"/>
        <c:lblOffset val="100"/>
        <c:tickMarkSkip val="1"/>
        <c:noMultiLvlLbl val="0"/>
      </c:catAx>
      <c:valAx>
        <c:axId val="172828664"/>
        <c:scaling>
          <c:orientation val="minMax"/>
        </c:scaling>
        <c:delete val="0"/>
        <c:axPos val="l"/>
        <c:majorGridlines>
          <c:spPr>
            <a:ln>
              <a:solidFill>
                <a:schemeClr val="tx1">
                  <a:lumMod val="50000"/>
                  <a:lumOff val="50000"/>
                </a:schemeClr>
              </a:solidFill>
            </a:ln>
            <a:effectLst/>
          </c:spPr>
        </c:majorGridlines>
        <c:title>
          <c:tx>
            <c:rich>
              <a:bodyPr rot="-5400000" vertOverflow="ellipsis" vert="horz" anchor="ctr" anchorCtr="1"/>
              <a:lstStyle/>
              <a:p>
                <a:pPr algn="ctr">
                  <a:defRPr sz="1000" b="1">
                    <a:solidFill>
                      <a:schemeClr val="tx1"/>
                    </a:solidFill>
                    <a:latin typeface="+mn-lt"/>
                    <a:ea typeface="+mn-ea"/>
                    <a:cs typeface="+mn-cs"/>
                  </a:defRPr>
                </a:pPr>
                <a:r>
                  <a:rPr lang="es-GT"/>
                  <a:t>%</a:t>
                </a:r>
                <a:r>
                  <a:rPr lang="es-GT" baseline="0"/>
                  <a:t> de Participación</a:t>
                </a:r>
                <a:endParaRPr lang="es-GT"/>
              </a:p>
            </c:rich>
          </c:tx>
          <c:overlay val="0"/>
          <c:spPr>
            <a:noFill/>
            <a:ln>
              <a:noFill/>
            </a:ln>
            <a:effectLst/>
          </c:spPr>
        </c:title>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2387760"/>
        <c:crosses val="autoZero"/>
        <c:crossBetween val="between"/>
      </c:valAx>
      <c:spPr>
        <a:solidFill>
          <a:schemeClr val="bg1"/>
        </a:solidFill>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lang="es-ES" sz="1400" b="0" i="0" u="none" strike="noStrike" kern="1200" spc="0" baseline="0">
                <a:solidFill>
                  <a:schemeClr val="tx1">
                    <a:lumMod val="65000"/>
                    <a:lumOff val="35000"/>
                  </a:schemeClr>
                </a:solidFill>
                <a:latin typeface="+mn-lt"/>
                <a:ea typeface="+mn-ea"/>
                <a:cs typeface="+mn-cs"/>
              </a:defRPr>
            </a:pPr>
            <a:r>
              <a:rPr lang="es-GT"/>
              <a:t>Estado de Planes Maestros por Categoría de Manejo</a:t>
            </a:r>
          </a:p>
        </c:rich>
      </c:tx>
      <c:overlay val="0"/>
      <c:spPr>
        <a:noFill/>
        <a:ln>
          <a:noFill/>
        </a:ln>
        <a:effectLst/>
      </c:spPr>
      <c:txPr>
        <a:bodyPr rot="0" spcFirstLastPara="1" vertOverflow="ellipsis" vert="horz" wrap="square" anchor="ctr" anchorCtr="1"/>
        <a:lstStyle/>
        <a:p>
          <a:pPr algn="ctr">
            <a:defRPr lang="es-ES"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'77 PMaestros'!$E$93</c:f>
              <c:strCache>
                <c:ptCount val="1"/>
                <c:pt idx="0">
                  <c:v>No. PM</c:v>
                </c:pt>
              </c:strCache>
            </c:strRef>
          </c:tx>
          <c:spPr>
            <a:solidFill>
              <a:schemeClr val="accent1"/>
            </a:solidFill>
            <a:ln>
              <a:noFill/>
            </a:ln>
            <a:effectLst/>
          </c:spPr>
          <c:invertIfNegative val="0"/>
          <c:dLbls>
            <c:spPr>
              <a:noFill/>
              <a:ln>
                <a:noFill/>
              </a:ln>
              <a:effectLst/>
            </c:spPr>
            <c:txPr>
              <a:bodyPr rot="0" spcFirstLastPara="1" vertOverflow="ellipsis" horzOverflow="overflow"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 PMaestros'!$D$94:$D$106</c:f>
              <c:strCache>
                <c:ptCount val="13"/>
                <c:pt idx="0">
                  <c:v>PN</c:v>
                </c:pt>
                <c:pt idx="1">
                  <c:v>RBiológica</c:v>
                </c:pt>
                <c:pt idx="2">
                  <c:v>Biotopo P</c:v>
                </c:pt>
                <c:pt idx="3">
                  <c:v>MC</c:v>
                </c:pt>
                <c:pt idx="4">
                  <c:v>AUM</c:v>
                </c:pt>
                <c:pt idx="5">
                  <c:v>RP Manantiales</c:v>
                </c:pt>
                <c:pt idx="6">
                  <c:v>RVS</c:v>
                </c:pt>
                <c:pt idx="7">
                  <c:v>PRyANR</c:v>
                </c:pt>
                <c:pt idx="8">
                  <c:v>RFPM</c:v>
                </c:pt>
                <c:pt idx="9">
                  <c:v>PRM</c:v>
                </c:pt>
                <c:pt idx="10">
                  <c:v>RNP</c:v>
                </c:pt>
                <c:pt idx="11">
                  <c:v>RBiósfera</c:v>
                </c:pt>
                <c:pt idx="12">
                  <c:v>ZVD</c:v>
                </c:pt>
              </c:strCache>
            </c:strRef>
          </c:cat>
          <c:val>
            <c:numRef>
              <c:f>'77 PMaestros'!$E$94:$E$106</c:f>
              <c:numCache>
                <c:formatCode>General</c:formatCode>
                <c:ptCount val="13"/>
                <c:pt idx="0">
                  <c:v>9</c:v>
                </c:pt>
                <c:pt idx="1">
                  <c:v>1</c:v>
                </c:pt>
                <c:pt idx="2">
                  <c:v>4</c:v>
                </c:pt>
                <c:pt idx="3">
                  <c:v>3</c:v>
                </c:pt>
                <c:pt idx="4">
                  <c:v>3</c:v>
                </c:pt>
                <c:pt idx="5">
                  <c:v>1</c:v>
                </c:pt>
                <c:pt idx="6">
                  <c:v>6</c:v>
                </c:pt>
                <c:pt idx="7">
                  <c:v>1</c:v>
                </c:pt>
                <c:pt idx="8">
                  <c:v>1</c:v>
                </c:pt>
                <c:pt idx="9">
                  <c:v>18</c:v>
                </c:pt>
                <c:pt idx="10">
                  <c:v>26</c:v>
                </c:pt>
                <c:pt idx="11">
                  <c:v>3</c:v>
                </c:pt>
                <c:pt idx="12">
                  <c:v>1</c:v>
                </c:pt>
              </c:numCache>
            </c:numRef>
          </c:val>
          <c:extLst>
            <c:ext xmlns:c16="http://schemas.microsoft.com/office/drawing/2014/chart" uri="{C3380CC4-5D6E-409C-BE32-E72D297353CC}">
              <c16:uniqueId val="{00000000-649E-4050-81FF-1B17A4C6E720}"/>
            </c:ext>
          </c:extLst>
        </c:ser>
        <c:ser>
          <c:idx val="1"/>
          <c:order val="1"/>
          <c:tx>
            <c:strRef>
              <c:f>'77 PMaestros'!$F$93</c:f>
              <c:strCache>
                <c:ptCount val="1"/>
                <c:pt idx="0">
                  <c:v>Actualizado</c:v>
                </c:pt>
              </c:strCache>
            </c:strRef>
          </c:tx>
          <c:spPr>
            <a:solidFill>
              <a:schemeClr val="accent2"/>
            </a:solidFill>
            <a:ln>
              <a:noFill/>
            </a:ln>
            <a:effectLst/>
          </c:spPr>
          <c:invertIfNegative val="0"/>
          <c:dLbls>
            <c:spPr>
              <a:noFill/>
              <a:ln>
                <a:noFill/>
              </a:ln>
              <a:effectLst/>
            </c:spPr>
            <c:txPr>
              <a:bodyPr rot="0" spcFirstLastPara="1" vertOverflow="ellipsis" horzOverflow="overflow"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 PMaestros'!$D$94:$D$106</c:f>
              <c:strCache>
                <c:ptCount val="13"/>
                <c:pt idx="0">
                  <c:v>PN</c:v>
                </c:pt>
                <c:pt idx="1">
                  <c:v>RBiológica</c:v>
                </c:pt>
                <c:pt idx="2">
                  <c:v>Biotopo P</c:v>
                </c:pt>
                <c:pt idx="3">
                  <c:v>MC</c:v>
                </c:pt>
                <c:pt idx="4">
                  <c:v>AUM</c:v>
                </c:pt>
                <c:pt idx="5">
                  <c:v>RP Manantiales</c:v>
                </c:pt>
                <c:pt idx="6">
                  <c:v>RVS</c:v>
                </c:pt>
                <c:pt idx="7">
                  <c:v>PRyANR</c:v>
                </c:pt>
                <c:pt idx="8">
                  <c:v>RFPM</c:v>
                </c:pt>
                <c:pt idx="9">
                  <c:v>PRM</c:v>
                </c:pt>
                <c:pt idx="10">
                  <c:v>RNP</c:v>
                </c:pt>
                <c:pt idx="11">
                  <c:v>RBiósfera</c:v>
                </c:pt>
                <c:pt idx="12">
                  <c:v>ZVD</c:v>
                </c:pt>
              </c:strCache>
            </c:strRef>
          </c:cat>
          <c:val>
            <c:numRef>
              <c:f>'77 PMaestros'!$F$94:$F$106</c:f>
              <c:numCache>
                <c:formatCode>General</c:formatCode>
                <c:ptCount val="13"/>
                <c:pt idx="0">
                  <c:v>0</c:v>
                </c:pt>
                <c:pt idx="1">
                  <c:v>0</c:v>
                </c:pt>
                <c:pt idx="2">
                  <c:v>0</c:v>
                </c:pt>
                <c:pt idx="3">
                  <c:v>0</c:v>
                </c:pt>
                <c:pt idx="4">
                  <c:v>0</c:v>
                </c:pt>
                <c:pt idx="5">
                  <c:v>0</c:v>
                </c:pt>
                <c:pt idx="6">
                  <c:v>0</c:v>
                </c:pt>
                <c:pt idx="7">
                  <c:v>0</c:v>
                </c:pt>
                <c:pt idx="8">
                  <c:v>0</c:v>
                </c:pt>
                <c:pt idx="9">
                  <c:v>2</c:v>
                </c:pt>
                <c:pt idx="10">
                  <c:v>0</c:v>
                </c:pt>
                <c:pt idx="11">
                  <c:v>1</c:v>
                </c:pt>
                <c:pt idx="12">
                  <c:v>0</c:v>
                </c:pt>
              </c:numCache>
            </c:numRef>
          </c:val>
          <c:extLst>
            <c:ext xmlns:c16="http://schemas.microsoft.com/office/drawing/2014/chart" uri="{C3380CC4-5D6E-409C-BE32-E72D297353CC}">
              <c16:uniqueId val="{00000001-649E-4050-81FF-1B17A4C6E720}"/>
            </c:ext>
          </c:extLst>
        </c:ser>
        <c:ser>
          <c:idx val="2"/>
          <c:order val="2"/>
          <c:tx>
            <c:strRef>
              <c:f>'77 PMaestros'!$G$93</c:f>
              <c:strCache>
                <c:ptCount val="1"/>
                <c:pt idx="0">
                  <c:v>En     Actualización</c:v>
                </c:pt>
              </c:strCache>
            </c:strRef>
          </c:tx>
          <c:spPr>
            <a:solidFill>
              <a:schemeClr val="accent3"/>
            </a:solidFill>
            <a:ln>
              <a:noFill/>
            </a:ln>
            <a:effectLst/>
          </c:spPr>
          <c:invertIfNegative val="0"/>
          <c:dLbls>
            <c:spPr>
              <a:noFill/>
              <a:ln>
                <a:noFill/>
              </a:ln>
              <a:effectLst/>
            </c:spPr>
            <c:txPr>
              <a:bodyPr rot="0" spcFirstLastPara="1" vertOverflow="ellipsis" horzOverflow="overflow"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 PMaestros'!$D$94:$D$106</c:f>
              <c:strCache>
                <c:ptCount val="13"/>
                <c:pt idx="0">
                  <c:v>PN</c:v>
                </c:pt>
                <c:pt idx="1">
                  <c:v>RBiológica</c:v>
                </c:pt>
                <c:pt idx="2">
                  <c:v>Biotopo P</c:v>
                </c:pt>
                <c:pt idx="3">
                  <c:v>MC</c:v>
                </c:pt>
                <c:pt idx="4">
                  <c:v>AUM</c:v>
                </c:pt>
                <c:pt idx="5">
                  <c:v>RP Manantiales</c:v>
                </c:pt>
                <c:pt idx="6">
                  <c:v>RVS</c:v>
                </c:pt>
                <c:pt idx="7">
                  <c:v>PRyANR</c:v>
                </c:pt>
                <c:pt idx="8">
                  <c:v>RFPM</c:v>
                </c:pt>
                <c:pt idx="9">
                  <c:v>PRM</c:v>
                </c:pt>
                <c:pt idx="10">
                  <c:v>RNP</c:v>
                </c:pt>
                <c:pt idx="11">
                  <c:v>RBiósfera</c:v>
                </c:pt>
                <c:pt idx="12">
                  <c:v>ZVD</c:v>
                </c:pt>
              </c:strCache>
            </c:strRef>
          </c:cat>
          <c:val>
            <c:numRef>
              <c:f>'77 PMaestros'!$G$94:$G$106</c:f>
              <c:numCache>
                <c:formatCode>General</c:formatCode>
                <c:ptCount val="13"/>
                <c:pt idx="0">
                  <c:v>5</c:v>
                </c:pt>
                <c:pt idx="1">
                  <c:v>0</c:v>
                </c:pt>
                <c:pt idx="2">
                  <c:v>2</c:v>
                </c:pt>
                <c:pt idx="3">
                  <c:v>0</c:v>
                </c:pt>
                <c:pt idx="4">
                  <c:v>1</c:v>
                </c:pt>
                <c:pt idx="5">
                  <c:v>0</c:v>
                </c:pt>
                <c:pt idx="6">
                  <c:v>2</c:v>
                </c:pt>
                <c:pt idx="7">
                  <c:v>1</c:v>
                </c:pt>
                <c:pt idx="8">
                  <c:v>0</c:v>
                </c:pt>
                <c:pt idx="9">
                  <c:v>0</c:v>
                </c:pt>
                <c:pt idx="10">
                  <c:v>0</c:v>
                </c:pt>
                <c:pt idx="11">
                  <c:v>1</c:v>
                </c:pt>
                <c:pt idx="12">
                  <c:v>0</c:v>
                </c:pt>
              </c:numCache>
            </c:numRef>
          </c:val>
          <c:extLst>
            <c:ext xmlns:c16="http://schemas.microsoft.com/office/drawing/2014/chart" uri="{C3380CC4-5D6E-409C-BE32-E72D297353CC}">
              <c16:uniqueId val="{00000002-649E-4050-81FF-1B17A4C6E720}"/>
            </c:ext>
          </c:extLst>
        </c:ser>
        <c:ser>
          <c:idx val="3"/>
          <c:order val="3"/>
          <c:tx>
            <c:strRef>
              <c:f>'77 PMaestros'!$I$93</c:f>
              <c:strCache>
                <c:ptCount val="1"/>
                <c:pt idx="0">
                  <c:v>No      Actualizado</c:v>
                </c:pt>
              </c:strCache>
            </c:strRef>
          </c:tx>
          <c:spPr>
            <a:solidFill>
              <a:schemeClr val="accent4"/>
            </a:solidFill>
            <a:ln>
              <a:noFill/>
            </a:ln>
            <a:effectLst/>
          </c:spPr>
          <c:invertIfNegative val="0"/>
          <c:dLbls>
            <c:spPr>
              <a:noFill/>
              <a:ln>
                <a:noFill/>
              </a:ln>
              <a:effectLst/>
            </c:spPr>
            <c:txPr>
              <a:bodyPr rot="0" spcFirstLastPara="1" vertOverflow="ellipsis" horzOverflow="overflow"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 PMaestros'!$D$94:$D$106</c:f>
              <c:strCache>
                <c:ptCount val="13"/>
                <c:pt idx="0">
                  <c:v>PN</c:v>
                </c:pt>
                <c:pt idx="1">
                  <c:v>RBiológica</c:v>
                </c:pt>
                <c:pt idx="2">
                  <c:v>Biotopo P</c:v>
                </c:pt>
                <c:pt idx="3">
                  <c:v>MC</c:v>
                </c:pt>
                <c:pt idx="4">
                  <c:v>AUM</c:v>
                </c:pt>
                <c:pt idx="5">
                  <c:v>RP Manantiales</c:v>
                </c:pt>
                <c:pt idx="6">
                  <c:v>RVS</c:v>
                </c:pt>
                <c:pt idx="7">
                  <c:v>PRyANR</c:v>
                </c:pt>
                <c:pt idx="8">
                  <c:v>RFPM</c:v>
                </c:pt>
                <c:pt idx="9">
                  <c:v>PRM</c:v>
                </c:pt>
                <c:pt idx="10">
                  <c:v>RNP</c:v>
                </c:pt>
                <c:pt idx="11">
                  <c:v>RBiósfera</c:v>
                </c:pt>
                <c:pt idx="12">
                  <c:v>ZVD</c:v>
                </c:pt>
              </c:strCache>
            </c:strRef>
          </c:cat>
          <c:val>
            <c:numRef>
              <c:f>'77 PMaestros'!$I$94:$I$106</c:f>
              <c:numCache>
                <c:formatCode>General</c:formatCode>
                <c:ptCount val="13"/>
                <c:pt idx="0">
                  <c:v>4</c:v>
                </c:pt>
                <c:pt idx="1">
                  <c:v>1</c:v>
                </c:pt>
                <c:pt idx="2">
                  <c:v>2</c:v>
                </c:pt>
                <c:pt idx="3">
                  <c:v>3</c:v>
                </c:pt>
                <c:pt idx="4">
                  <c:v>2</c:v>
                </c:pt>
                <c:pt idx="5">
                  <c:v>1</c:v>
                </c:pt>
                <c:pt idx="6">
                  <c:v>4</c:v>
                </c:pt>
                <c:pt idx="7">
                  <c:v>0</c:v>
                </c:pt>
                <c:pt idx="8">
                  <c:v>1</c:v>
                </c:pt>
                <c:pt idx="9">
                  <c:v>14</c:v>
                </c:pt>
                <c:pt idx="10">
                  <c:v>25</c:v>
                </c:pt>
                <c:pt idx="11">
                  <c:v>1</c:v>
                </c:pt>
                <c:pt idx="12">
                  <c:v>0</c:v>
                </c:pt>
              </c:numCache>
            </c:numRef>
          </c:val>
          <c:extLst>
            <c:ext xmlns:c16="http://schemas.microsoft.com/office/drawing/2014/chart" uri="{C3380CC4-5D6E-409C-BE32-E72D297353CC}">
              <c16:uniqueId val="{00000003-649E-4050-81FF-1B17A4C6E720}"/>
            </c:ext>
          </c:extLst>
        </c:ser>
        <c:ser>
          <c:idx val="4"/>
          <c:order val="4"/>
          <c:tx>
            <c:strRef>
              <c:f>'77 PMaestros'!$J$93</c:f>
              <c:strCache>
                <c:ptCount val="1"/>
                <c:pt idx="0">
                  <c:v>Elaborados por primera vez</c:v>
                </c:pt>
              </c:strCache>
            </c:strRef>
          </c:tx>
          <c:spPr>
            <a:solidFill>
              <a:schemeClr val="accent5"/>
            </a:solidFill>
            <a:ln>
              <a:noFill/>
            </a:ln>
            <a:effectLst/>
          </c:spPr>
          <c:invertIfNegative val="0"/>
          <c:dLbls>
            <c:spPr>
              <a:noFill/>
              <a:ln>
                <a:noFill/>
              </a:ln>
              <a:effectLst/>
            </c:spPr>
            <c:txPr>
              <a:bodyPr rot="0" spcFirstLastPara="1" vertOverflow="ellipsis" horzOverflow="overflow" vert="horz" wrap="square" lIns="38100" tIns="19050" rIns="38100" bIns="19050" anchor="ctr" anchorCtr="1">
                <a:spAutoFit/>
              </a:bodyPr>
              <a:lstStyle/>
              <a:p>
                <a:pPr>
                  <a:defRPr lang="es-ES" sz="900" b="0" i="0" u="none" strike="noStrike" kern="1200" baseline="0">
                    <a:solidFill>
                      <a:schemeClr val="tx1">
                        <a:lumMod val="75000"/>
                        <a:lumOff val="25000"/>
                      </a:schemeClr>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'77 PMaestros'!$D$94:$D$106</c:f>
              <c:strCache>
                <c:ptCount val="13"/>
                <c:pt idx="0">
                  <c:v>PN</c:v>
                </c:pt>
                <c:pt idx="1">
                  <c:v>RBiológica</c:v>
                </c:pt>
                <c:pt idx="2">
                  <c:v>Biotopo P</c:v>
                </c:pt>
                <c:pt idx="3">
                  <c:v>MC</c:v>
                </c:pt>
                <c:pt idx="4">
                  <c:v>AUM</c:v>
                </c:pt>
                <c:pt idx="5">
                  <c:v>RP Manantiales</c:v>
                </c:pt>
                <c:pt idx="6">
                  <c:v>RVS</c:v>
                </c:pt>
                <c:pt idx="7">
                  <c:v>PRyANR</c:v>
                </c:pt>
                <c:pt idx="8">
                  <c:v>RFPM</c:v>
                </c:pt>
                <c:pt idx="9">
                  <c:v>PRM</c:v>
                </c:pt>
                <c:pt idx="10">
                  <c:v>RNP</c:v>
                </c:pt>
                <c:pt idx="11">
                  <c:v>RBiósfera</c:v>
                </c:pt>
                <c:pt idx="12">
                  <c:v>ZVD</c:v>
                </c:pt>
              </c:strCache>
            </c:strRef>
          </c:cat>
          <c:val>
            <c:numRef>
              <c:f>'77 PMaestros'!$J$94:$J$106</c:f>
              <c:numCache>
                <c:formatCode>General</c:formatCode>
                <c:ptCount val="13"/>
                <c:pt idx="0">
                  <c:v>0</c:v>
                </c:pt>
                <c:pt idx="1">
                  <c:v>0</c:v>
                </c:pt>
                <c:pt idx="2">
                  <c:v>0</c:v>
                </c:pt>
                <c:pt idx="3">
                  <c:v>0</c:v>
                </c:pt>
                <c:pt idx="4">
                  <c:v>0</c:v>
                </c:pt>
                <c:pt idx="5">
                  <c:v>0</c:v>
                </c:pt>
                <c:pt idx="6">
                  <c:v>0</c:v>
                </c:pt>
                <c:pt idx="7">
                  <c:v>0</c:v>
                </c:pt>
                <c:pt idx="8">
                  <c:v>0</c:v>
                </c:pt>
                <c:pt idx="9">
                  <c:v>2</c:v>
                </c:pt>
                <c:pt idx="10">
                  <c:v>1</c:v>
                </c:pt>
                <c:pt idx="11">
                  <c:v>0</c:v>
                </c:pt>
                <c:pt idx="12">
                  <c:v>1</c:v>
                </c:pt>
              </c:numCache>
            </c:numRef>
          </c:val>
          <c:extLst>
            <c:ext xmlns:c16="http://schemas.microsoft.com/office/drawing/2014/chart" uri="{C3380CC4-5D6E-409C-BE32-E72D297353CC}">
              <c16:uniqueId val="{00000004-649E-4050-81FF-1B17A4C6E720}"/>
            </c:ext>
          </c:extLst>
        </c:ser>
        <c:dLbls>
          <c:showLegendKey val="0"/>
          <c:showVal val="0"/>
          <c:showCatName val="0"/>
          <c:showSerName val="0"/>
          <c:showPercent val="0"/>
          <c:showBubbleSize val="0"/>
        </c:dLbls>
        <c:gapWidth val="219"/>
        <c:overlap val="-27"/>
        <c:axId val="172829448"/>
        <c:axId val="172829840"/>
      </c:barChart>
      <c:catAx>
        <c:axId val="172829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MX"/>
          </a:p>
        </c:txPr>
        <c:crossAx val="172829840"/>
        <c:crosses val="autoZero"/>
        <c:auto val="1"/>
        <c:lblAlgn val="ctr"/>
        <c:lblOffset val="100"/>
        <c:tickMarkSkip val="1"/>
        <c:noMultiLvlLbl val="0"/>
      </c:catAx>
      <c:valAx>
        <c:axId val="172829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horzOverflow="overflow"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MX"/>
          </a:p>
        </c:txPr>
        <c:crossAx val="172829448"/>
        <c:crosses val="autoZero"/>
        <c:crossBetween val="between"/>
      </c:valAx>
      <c:spPr>
        <a:noFill/>
        <a:ln>
          <a:noFill/>
        </a:ln>
        <a:effectLst/>
      </c:spPr>
    </c:plotArea>
    <c:legend>
      <c:legendPos val="b"/>
      <c:overlay val="0"/>
      <c:spPr>
        <a:noFill/>
        <a:ln>
          <a:noFill/>
        </a:ln>
        <a:effectLst/>
      </c:spPr>
      <c:txPr>
        <a:bodyPr rot="0" spcFirstLastPara="1" vertOverflow="ellipsis" horzOverflow="overflow" vert="horz" wrap="square" anchor="ctr" anchorCtr="1"/>
        <a:lstStyle/>
        <a:p>
          <a:pPr>
            <a:defRPr lang="es-ES"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Evaluación de Desempeño para Consultores y Constratistas Individuales</a:t>
            </a:r>
          </a:p>
        </c:rich>
      </c:tx>
      <c:overlay val="0"/>
      <c:spPr>
        <a:noFill/>
        <a:ln>
          <a:noFill/>
        </a:ln>
        <a:effectLst/>
      </c:spPr>
    </c:title>
    <c:autoTitleDeleted val="0"/>
    <c:plotArea>
      <c:layout/>
      <c:barChart>
        <c:barDir val="col"/>
        <c:grouping val="clustered"/>
        <c:varyColors val="0"/>
        <c:ser>
          <c:idx val="0"/>
          <c:order val="0"/>
          <c:tx>
            <c:strRef>
              <c:f>'Evaluación Consultores'!$D$37</c:f>
              <c:strCache>
                <c:ptCount val="1"/>
                <c:pt idx="0">
                  <c:v>Evaluación Intermedia</c:v>
                </c:pt>
              </c:strCache>
            </c:strRef>
          </c:tx>
          <c:spPr>
            <a:solidFill>
              <a:schemeClr val="accent1"/>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'Evaluación Consultores'!$C$38:$C$41</c:f>
              <c:strCache>
                <c:ptCount val="4"/>
                <c:pt idx="0">
                  <c:v>Excelente</c:v>
                </c:pt>
                <c:pt idx="1">
                  <c:v>Bueno</c:v>
                </c:pt>
                <c:pt idx="2">
                  <c:v>Satisfactorio</c:v>
                </c:pt>
                <c:pt idx="3">
                  <c:v>Insatisfactorio</c:v>
                </c:pt>
              </c:strCache>
            </c:strRef>
          </c:cat>
          <c:val>
            <c:numRef>
              <c:f>'Evaluación Consultores'!$D$38:$D$41</c:f>
              <c:numCache>
                <c:formatCode>General</c:formatCode>
                <c:ptCount val="4"/>
                <c:pt idx="0">
                  <c:v>1</c:v>
                </c:pt>
                <c:pt idx="1">
                  <c:v>1</c:v>
                </c:pt>
                <c:pt idx="2">
                  <c:v>0</c:v>
                </c:pt>
                <c:pt idx="3">
                  <c:v>1</c:v>
                </c:pt>
              </c:numCache>
            </c:numRef>
          </c:val>
          <c:extLst>
            <c:ext xmlns:c16="http://schemas.microsoft.com/office/drawing/2014/chart" uri="{C3380CC4-5D6E-409C-BE32-E72D297353CC}">
              <c16:uniqueId val="{00000000-B5AE-4305-BF1F-4DA480715DAB}"/>
            </c:ext>
          </c:extLst>
        </c:ser>
        <c:ser>
          <c:idx val="1"/>
          <c:order val="1"/>
          <c:tx>
            <c:strRef>
              <c:f>'Evaluación Consultores'!$E$37</c:f>
              <c:strCache>
                <c:ptCount val="1"/>
                <c:pt idx="0">
                  <c:v>Evaluación  Final</c:v>
                </c:pt>
              </c:strCache>
            </c:strRef>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'Evaluación Consultores'!$C$38:$C$41</c:f>
              <c:strCache>
                <c:ptCount val="4"/>
                <c:pt idx="0">
                  <c:v>Excelente</c:v>
                </c:pt>
                <c:pt idx="1">
                  <c:v>Bueno</c:v>
                </c:pt>
                <c:pt idx="2">
                  <c:v>Satisfactorio</c:v>
                </c:pt>
                <c:pt idx="3">
                  <c:v>Insatisfactorio</c:v>
                </c:pt>
              </c:strCache>
            </c:strRef>
          </c:cat>
          <c:val>
            <c:numRef>
              <c:f>'Evaluación Consultores'!$E$38:$E$41</c:f>
              <c:numCache>
                <c:formatCode>General</c:formatCode>
                <c:ptCount val="4"/>
                <c:pt idx="0">
                  <c:v>7</c:v>
                </c:pt>
                <c:pt idx="1">
                  <c:v>9</c:v>
                </c:pt>
                <c:pt idx="2">
                  <c:v>4</c:v>
                </c:pt>
                <c:pt idx="3">
                  <c:v>5</c:v>
                </c:pt>
              </c:numCache>
            </c:numRef>
          </c:val>
          <c:extLst>
            <c:ext xmlns:c16="http://schemas.microsoft.com/office/drawing/2014/chart" uri="{C3380CC4-5D6E-409C-BE32-E72D297353CC}">
              <c16:uniqueId val="{00000001-B5AE-4305-BF1F-4DA480715DAB}"/>
            </c:ext>
          </c:extLst>
        </c:ser>
        <c:dLbls>
          <c:dLblPos val="outEnd"/>
          <c:showLegendKey val="0"/>
          <c:showVal val="1"/>
          <c:showCatName val="0"/>
          <c:showSerName val="0"/>
          <c:showPercent val="0"/>
          <c:showBubbleSize val="0"/>
        </c:dLbls>
        <c:gapWidth val="75"/>
        <c:axId val="172830624"/>
        <c:axId val="172831016"/>
      </c:barChart>
      <c:catAx>
        <c:axId val="172830624"/>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2831016"/>
        <c:crosses val="autoZero"/>
        <c:auto val="1"/>
        <c:lblAlgn val="ctr"/>
        <c:lblOffset val="100"/>
        <c:tickMarkSkip val="1"/>
        <c:noMultiLvlLbl val="0"/>
      </c:catAx>
      <c:valAx>
        <c:axId val="172831016"/>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w="9525">
            <a:no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72830624"/>
        <c:crosses val="autoZero"/>
        <c:crossBetween val="between"/>
      </c:valAx>
      <c:dTable>
        <c:showHorzBorder val="1"/>
        <c:showVertBorder val="1"/>
        <c:showOutline val="1"/>
        <c:showKeys val="0"/>
        <c:spPr>
          <a:no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Table>
      <c:spPr>
        <a:ln>
          <a:noFill/>
        </a:ln>
        <a:effectLst/>
      </c:spPr>
    </c:plotArea>
    <c:legend>
      <c:legendPos val="b"/>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Parques</a:t>
            </a:r>
            <a:r>
              <a:rPr lang="es-GT" baseline="0"/>
              <a:t> Recreativos Naturales por Región</a:t>
            </a:r>
            <a:endParaRPr lang="es-GT"/>
          </a:p>
        </c:rich>
      </c:tx>
      <c:overlay val="0"/>
      <c:spPr>
        <a:noFill/>
        <a:ln>
          <a:noFill/>
        </a:ln>
        <a:effectLst/>
      </c:spPr>
    </c:title>
    <c:autoTitleDeleted val="0"/>
    <c:plotArea>
      <c:layout/>
      <c:barChart>
        <c:barDir val="col"/>
        <c:grouping val="clustered"/>
        <c:varyColors val="0"/>
        <c:ser>
          <c:idx val="0"/>
          <c:order val="0"/>
          <c:tx>
            <c:strRef>
              <c:f>'Ha por Región y Cat Manejo'!$B$64</c:f>
              <c:strCache>
                <c:ptCount val="1"/>
                <c:pt idx="0">
                  <c:v>Parque Recreativo Natural</c:v>
                </c:pt>
              </c:strCache>
            </c:strRef>
          </c:tx>
          <c:spPr>
            <a:solidFill>
              <a:schemeClr val="accent1"/>
            </a:solidFill>
            <a:ln>
              <a:noFill/>
            </a:ln>
            <a:effectLst/>
          </c:spPr>
          <c:invertIfNegative val="0"/>
          <c:cat>
            <c:strRef>
              <c:f>'Ha por Región y Cat Manejo'!$A$65:$A$75</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Manejo'!$B$65:$B$75</c:f>
              <c:numCache>
                <c:formatCode>General</c:formatCode>
                <c:ptCount val="11"/>
                <c:pt idx="0">
                  <c:v>0</c:v>
                </c:pt>
                <c:pt idx="1">
                  <c:v>1</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DAFB-404B-96D8-6A02155E8480}"/>
            </c:ext>
          </c:extLst>
        </c:ser>
        <c:ser>
          <c:idx val="1"/>
          <c:order val="1"/>
          <c:tx>
            <c:strRef>
              <c:f>'Ha por Región y Cat Manejo'!$C$64</c:f>
              <c:strCache>
                <c:ptCount val="1"/>
                <c:pt idx="0">
                  <c:v>Ha</c:v>
                </c:pt>
              </c:strCache>
            </c:strRef>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Manejo'!$A$65:$A$75</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Manejo'!$C$65:$C$75</c:f>
              <c:numCache>
                <c:formatCode>General</c:formatCode>
                <c:ptCount val="11"/>
                <c:pt idx="0">
                  <c:v>0</c:v>
                </c:pt>
                <c:pt idx="1">
                  <c:v>38.28</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DAFB-404B-96D8-6A02155E8480}"/>
            </c:ext>
          </c:extLst>
        </c:ser>
        <c:dLbls>
          <c:showLegendKey val="0"/>
          <c:showVal val="0"/>
          <c:showCatName val="0"/>
          <c:showSerName val="0"/>
          <c:showPercent val="0"/>
          <c:showBubbleSize val="0"/>
        </c:dLbls>
        <c:gapWidth val="150"/>
        <c:axId val="140994248"/>
        <c:axId val="141011808"/>
      </c:barChart>
      <c:catAx>
        <c:axId val="140994248"/>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1011808"/>
        <c:crosses val="autoZero"/>
        <c:auto val="1"/>
        <c:lblAlgn val="ctr"/>
        <c:lblOffset val="100"/>
        <c:tickMarkSkip val="1"/>
        <c:noMultiLvlLbl val="0"/>
      </c:catAx>
      <c:valAx>
        <c:axId val="141011808"/>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0994248"/>
        <c:crosses val="autoZero"/>
        <c:crossBetween val="between"/>
      </c:valAx>
      <c:spPr>
        <a:solidFill>
          <a:schemeClr val="bg1"/>
        </a:solidFill>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Parques Regionales Municipales por Región</a:t>
            </a:r>
          </a:p>
        </c:rich>
      </c:tx>
      <c:overlay val="0"/>
      <c:spPr>
        <a:noFill/>
        <a:ln>
          <a:noFill/>
        </a:ln>
        <a:effectLst/>
      </c:spPr>
    </c:title>
    <c:autoTitleDeleted val="0"/>
    <c:plotArea>
      <c:layout/>
      <c:barChart>
        <c:barDir val="col"/>
        <c:grouping val="clustered"/>
        <c:varyColors val="0"/>
        <c:ser>
          <c:idx val="0"/>
          <c:order val="0"/>
          <c:tx>
            <c:strRef>
              <c:f>'Ha por Región y Cat Manejo'!$B$78</c:f>
              <c:strCache>
                <c:ptCount val="1"/>
                <c:pt idx="0">
                  <c:v>Parque Regional Municipal</c:v>
                </c:pt>
              </c:strCache>
            </c:strRef>
          </c:tx>
          <c:spPr>
            <a:solidFill>
              <a:schemeClr val="accent1"/>
            </a:solidFill>
            <a:ln>
              <a:noFill/>
            </a:ln>
            <a:effectLst/>
          </c:spPr>
          <c:invertIfNegative val="0"/>
          <c:cat>
            <c:strRef>
              <c:f>'Ha por Región y Cat Manejo'!$A$79:$A$89</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Manejo'!$B$79:$B$89</c:f>
              <c:numCache>
                <c:formatCode>General</c:formatCode>
                <c:ptCount val="11"/>
                <c:pt idx="0">
                  <c:v>22</c:v>
                </c:pt>
                <c:pt idx="1">
                  <c:v>3</c:v>
                </c:pt>
                <c:pt idx="2">
                  <c:v>10</c:v>
                </c:pt>
                <c:pt idx="3">
                  <c:v>14</c:v>
                </c:pt>
                <c:pt idx="4">
                  <c:v>16</c:v>
                </c:pt>
                <c:pt idx="5">
                  <c:v>1</c:v>
                </c:pt>
                <c:pt idx="6">
                  <c:v>6</c:v>
                </c:pt>
                <c:pt idx="7">
                  <c:v>0</c:v>
                </c:pt>
                <c:pt idx="8">
                  <c:v>0</c:v>
                </c:pt>
                <c:pt idx="9">
                  <c:v>7</c:v>
                </c:pt>
                <c:pt idx="10">
                  <c:v>0</c:v>
                </c:pt>
              </c:numCache>
            </c:numRef>
          </c:val>
          <c:extLst>
            <c:ext xmlns:c16="http://schemas.microsoft.com/office/drawing/2014/chart" uri="{C3380CC4-5D6E-409C-BE32-E72D297353CC}">
              <c16:uniqueId val="{00000000-4797-4164-A8D6-68D9D1952E83}"/>
            </c:ext>
          </c:extLst>
        </c:ser>
        <c:ser>
          <c:idx val="1"/>
          <c:order val="1"/>
          <c:tx>
            <c:strRef>
              <c:f>'Ha por Región y Cat Manejo'!$C$78</c:f>
              <c:strCache>
                <c:ptCount val="1"/>
                <c:pt idx="0">
                  <c:v>Ha</c:v>
                </c:pt>
              </c:strCache>
            </c:strRef>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Manejo'!$A$79:$A$89</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Manejo'!$C$79:$C$89</c:f>
              <c:numCache>
                <c:formatCode>General</c:formatCode>
                <c:ptCount val="11"/>
                <c:pt idx="0">
                  <c:v>631.63</c:v>
                </c:pt>
                <c:pt idx="1">
                  <c:v>92.602000000000004</c:v>
                </c:pt>
                <c:pt idx="2" formatCode="#,##0.00">
                  <c:v>2325.31</c:v>
                </c:pt>
                <c:pt idx="3">
                  <c:v>26783.223599999998</c:v>
                </c:pt>
                <c:pt idx="4" formatCode="0.00">
                  <c:v>10833.153999999999</c:v>
                </c:pt>
                <c:pt idx="5">
                  <c:v>1489.87</c:v>
                </c:pt>
                <c:pt idx="6">
                  <c:v>3901.4700000000003</c:v>
                </c:pt>
                <c:pt idx="7">
                  <c:v>0</c:v>
                </c:pt>
                <c:pt idx="8">
                  <c:v>0</c:v>
                </c:pt>
                <c:pt idx="9">
                  <c:v>739.36</c:v>
                </c:pt>
                <c:pt idx="10">
                  <c:v>0</c:v>
                </c:pt>
              </c:numCache>
            </c:numRef>
          </c:val>
          <c:extLst>
            <c:ext xmlns:c16="http://schemas.microsoft.com/office/drawing/2014/chart" uri="{C3380CC4-5D6E-409C-BE32-E72D297353CC}">
              <c16:uniqueId val="{00000001-4797-4164-A8D6-68D9D1952E83}"/>
            </c:ext>
          </c:extLst>
        </c:ser>
        <c:dLbls>
          <c:showLegendKey val="0"/>
          <c:showVal val="0"/>
          <c:showCatName val="0"/>
          <c:showSerName val="0"/>
          <c:showPercent val="0"/>
          <c:showBubbleSize val="0"/>
        </c:dLbls>
        <c:gapWidth val="150"/>
        <c:axId val="141012592"/>
        <c:axId val="141012984"/>
      </c:barChart>
      <c:catAx>
        <c:axId val="141012592"/>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1012984"/>
        <c:crosses val="autoZero"/>
        <c:auto val="1"/>
        <c:lblAlgn val="ctr"/>
        <c:lblOffset val="100"/>
        <c:tickMarkSkip val="1"/>
        <c:noMultiLvlLbl val="0"/>
      </c:catAx>
      <c:valAx>
        <c:axId val="141012984"/>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1012592"/>
        <c:crosses val="autoZero"/>
        <c:crossBetween val="between"/>
      </c:valAx>
      <c:spPr>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sz="1400"/>
              <a:t>Parque Regional y Área Natural Recreativa por Región</a:t>
            </a:r>
          </a:p>
        </c:rich>
      </c:tx>
      <c:overlay val="0"/>
      <c:spPr>
        <a:noFill/>
        <a:ln>
          <a:noFill/>
        </a:ln>
        <a:effectLst/>
      </c:spPr>
    </c:title>
    <c:autoTitleDeleted val="0"/>
    <c:plotArea>
      <c:layout/>
      <c:barChart>
        <c:barDir val="col"/>
        <c:grouping val="clustered"/>
        <c:varyColors val="0"/>
        <c:ser>
          <c:idx val="0"/>
          <c:order val="0"/>
          <c:tx>
            <c:strRef>
              <c:f>'Ha por Región y Cat Manejo'!$B$92</c:f>
              <c:strCache>
                <c:ptCount val="1"/>
                <c:pt idx="0">
                  <c:v>Parque Regional y Área Natural Recreativa</c:v>
                </c:pt>
              </c:strCache>
            </c:strRef>
          </c:tx>
          <c:spPr>
            <a:solidFill>
              <a:schemeClr val="accent1"/>
            </a:solidFill>
            <a:ln>
              <a:noFill/>
            </a:ln>
            <a:effectLst/>
          </c:spPr>
          <c:invertIfNegative val="0"/>
          <c:cat>
            <c:strRef>
              <c:f>'Ha por Región y Cat Manejo'!$A$93:$A$103</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Manejo'!$B$93:$B$103</c:f>
              <c:numCache>
                <c:formatCode>General</c:formatCode>
                <c:ptCount val="11"/>
                <c:pt idx="0">
                  <c:v>0</c:v>
                </c:pt>
                <c:pt idx="1">
                  <c:v>0</c:v>
                </c:pt>
                <c:pt idx="2">
                  <c:v>0</c:v>
                </c:pt>
                <c:pt idx="3">
                  <c:v>0</c:v>
                </c:pt>
                <c:pt idx="4">
                  <c:v>0</c:v>
                </c:pt>
                <c:pt idx="5">
                  <c:v>0</c:v>
                </c:pt>
                <c:pt idx="6">
                  <c:v>0</c:v>
                </c:pt>
                <c:pt idx="7">
                  <c:v>1</c:v>
                </c:pt>
                <c:pt idx="8">
                  <c:v>0</c:v>
                </c:pt>
                <c:pt idx="9">
                  <c:v>0</c:v>
                </c:pt>
                <c:pt idx="10">
                  <c:v>0</c:v>
                </c:pt>
              </c:numCache>
            </c:numRef>
          </c:val>
          <c:extLst>
            <c:ext xmlns:c16="http://schemas.microsoft.com/office/drawing/2014/chart" uri="{C3380CC4-5D6E-409C-BE32-E72D297353CC}">
              <c16:uniqueId val="{00000000-6575-4713-987B-9E301038C737}"/>
            </c:ext>
          </c:extLst>
        </c:ser>
        <c:ser>
          <c:idx val="1"/>
          <c:order val="1"/>
          <c:tx>
            <c:strRef>
              <c:f>'Ha por Región y Cat Manejo'!$C$92</c:f>
              <c:strCache>
                <c:ptCount val="1"/>
                <c:pt idx="0">
                  <c:v>Ha</c:v>
                </c:pt>
              </c:strCache>
            </c:strRef>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Manejo'!$A$93:$A$103</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Manejo'!$C$93:$C$103</c:f>
              <c:numCache>
                <c:formatCode>General</c:formatCode>
                <c:ptCount val="11"/>
                <c:pt idx="0">
                  <c:v>0</c:v>
                </c:pt>
                <c:pt idx="1">
                  <c:v>0</c:v>
                </c:pt>
                <c:pt idx="2">
                  <c:v>0</c:v>
                </c:pt>
                <c:pt idx="3">
                  <c:v>0</c:v>
                </c:pt>
                <c:pt idx="4">
                  <c:v>0</c:v>
                </c:pt>
                <c:pt idx="5">
                  <c:v>0</c:v>
                </c:pt>
                <c:pt idx="6">
                  <c:v>0</c:v>
                </c:pt>
                <c:pt idx="7">
                  <c:v>2673</c:v>
                </c:pt>
                <c:pt idx="8">
                  <c:v>0</c:v>
                </c:pt>
                <c:pt idx="9">
                  <c:v>0</c:v>
                </c:pt>
                <c:pt idx="10">
                  <c:v>0</c:v>
                </c:pt>
              </c:numCache>
            </c:numRef>
          </c:val>
          <c:extLst>
            <c:ext xmlns:c16="http://schemas.microsoft.com/office/drawing/2014/chart" uri="{C3380CC4-5D6E-409C-BE32-E72D297353CC}">
              <c16:uniqueId val="{00000001-6575-4713-987B-9E301038C737}"/>
            </c:ext>
          </c:extLst>
        </c:ser>
        <c:dLbls>
          <c:showLegendKey val="0"/>
          <c:showVal val="0"/>
          <c:showCatName val="0"/>
          <c:showSerName val="0"/>
          <c:showPercent val="0"/>
          <c:showBubbleSize val="0"/>
        </c:dLbls>
        <c:gapWidth val="150"/>
        <c:axId val="141013768"/>
        <c:axId val="141014160"/>
      </c:barChart>
      <c:catAx>
        <c:axId val="141013768"/>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1014160"/>
        <c:crosses val="autoZero"/>
        <c:auto val="1"/>
        <c:lblAlgn val="ctr"/>
        <c:lblOffset val="100"/>
        <c:tickMarkSkip val="1"/>
        <c:noMultiLvlLbl val="0"/>
      </c:catAx>
      <c:valAx>
        <c:axId val="141014160"/>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1013768"/>
        <c:crosses val="autoZero"/>
        <c:crossBetween val="between"/>
      </c:valAx>
      <c:spPr>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Reserva Forestal Municipal por Región</a:t>
            </a:r>
          </a:p>
        </c:rich>
      </c:tx>
      <c:overlay val="0"/>
      <c:spPr>
        <a:noFill/>
        <a:ln>
          <a:noFill/>
        </a:ln>
        <a:effectLst/>
      </c:spPr>
    </c:title>
    <c:autoTitleDeleted val="0"/>
    <c:plotArea>
      <c:layout/>
      <c:barChart>
        <c:barDir val="col"/>
        <c:grouping val="clustered"/>
        <c:varyColors val="0"/>
        <c:ser>
          <c:idx val="0"/>
          <c:order val="0"/>
          <c:tx>
            <c:strRef>
              <c:f>'Ha por Región y Cat Manejo'!$B$106</c:f>
              <c:strCache>
                <c:ptCount val="1"/>
                <c:pt idx="0">
                  <c:v>Reserva Forestal Municipal</c:v>
                </c:pt>
              </c:strCache>
            </c:strRef>
          </c:tx>
          <c:spPr>
            <a:solidFill>
              <a:schemeClr val="accent1"/>
            </a:solidFill>
            <a:ln>
              <a:noFill/>
            </a:ln>
            <a:effectLst/>
          </c:spPr>
          <c:invertIfNegative val="0"/>
          <c:cat>
            <c:strRef>
              <c:f>'Ha por Región y Cat Manejo'!$A$107:$A$117</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Manejo'!$B$107:$B$117</c:f>
              <c:numCache>
                <c:formatCode>General</c:formatCode>
                <c:ptCount val="11"/>
                <c:pt idx="0">
                  <c:v>0</c:v>
                </c:pt>
                <c:pt idx="1">
                  <c:v>2</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D8A9-483C-9035-E55E2C6FF3C6}"/>
            </c:ext>
          </c:extLst>
        </c:ser>
        <c:ser>
          <c:idx val="1"/>
          <c:order val="1"/>
          <c:tx>
            <c:strRef>
              <c:f>'Ha por Región y Cat Manejo'!$C$106</c:f>
              <c:strCache>
                <c:ptCount val="1"/>
                <c:pt idx="0">
                  <c:v>Ha</c:v>
                </c:pt>
              </c:strCache>
            </c:strRef>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Manejo'!$A$107:$A$117</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Manejo'!$C$107:$C$117</c:f>
              <c:numCache>
                <c:formatCode>General</c:formatCode>
                <c:ptCount val="11"/>
                <c:pt idx="0">
                  <c:v>0</c:v>
                </c:pt>
                <c:pt idx="1">
                  <c:v>158.49700000000001</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D8A9-483C-9035-E55E2C6FF3C6}"/>
            </c:ext>
          </c:extLst>
        </c:ser>
        <c:dLbls>
          <c:showLegendKey val="0"/>
          <c:showVal val="0"/>
          <c:showCatName val="0"/>
          <c:showSerName val="0"/>
          <c:showPercent val="0"/>
          <c:showBubbleSize val="0"/>
        </c:dLbls>
        <c:gapWidth val="150"/>
        <c:axId val="141014944"/>
        <c:axId val="141015336"/>
      </c:barChart>
      <c:catAx>
        <c:axId val="141014944"/>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1015336"/>
        <c:crosses val="autoZero"/>
        <c:auto val="1"/>
        <c:lblAlgn val="ctr"/>
        <c:lblOffset val="100"/>
        <c:tickMarkSkip val="1"/>
        <c:noMultiLvlLbl val="0"/>
      </c:catAx>
      <c:valAx>
        <c:axId val="141015336"/>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1014944"/>
        <c:crosses val="autoZero"/>
        <c:crossBetween val="between"/>
      </c:valAx>
      <c:spPr>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a:t>Reserva Hídrica y Forestal por Región</a:t>
            </a:r>
          </a:p>
        </c:rich>
      </c:tx>
      <c:overlay val="0"/>
      <c:spPr>
        <a:noFill/>
        <a:ln>
          <a:noFill/>
        </a:ln>
        <a:effectLst/>
      </c:spPr>
    </c:title>
    <c:autoTitleDeleted val="0"/>
    <c:plotArea>
      <c:layout/>
      <c:barChart>
        <c:barDir val="col"/>
        <c:grouping val="clustered"/>
        <c:varyColors val="0"/>
        <c:ser>
          <c:idx val="0"/>
          <c:order val="0"/>
          <c:tx>
            <c:strRef>
              <c:f>'Ha por Región y Cat Manejo'!$B$120</c:f>
              <c:strCache>
                <c:ptCount val="1"/>
                <c:pt idx="0">
                  <c:v>Reserva Hídrica y Forestal</c:v>
                </c:pt>
              </c:strCache>
            </c:strRef>
          </c:tx>
          <c:spPr>
            <a:solidFill>
              <a:schemeClr val="accent1"/>
            </a:solidFill>
            <a:ln>
              <a:noFill/>
            </a:ln>
            <a:effectLst/>
          </c:spPr>
          <c:invertIfNegative val="0"/>
          <c:cat>
            <c:strRef>
              <c:f>'Ha por Región y Cat Manejo'!$A$121:$A$131</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Manejo'!$B$121:$B$131</c:f>
              <c:numCache>
                <c:formatCode>General</c:formatCode>
                <c:ptCount val="11"/>
                <c:pt idx="0">
                  <c:v>0</c:v>
                </c:pt>
                <c:pt idx="1">
                  <c:v>0</c:v>
                </c:pt>
                <c:pt idx="2">
                  <c:v>0</c:v>
                </c:pt>
                <c:pt idx="3">
                  <c:v>0</c:v>
                </c:pt>
                <c:pt idx="4">
                  <c:v>0</c:v>
                </c:pt>
                <c:pt idx="5">
                  <c:v>1</c:v>
                </c:pt>
                <c:pt idx="6">
                  <c:v>0</c:v>
                </c:pt>
                <c:pt idx="7">
                  <c:v>0</c:v>
                </c:pt>
                <c:pt idx="8">
                  <c:v>0</c:v>
                </c:pt>
                <c:pt idx="9">
                  <c:v>0</c:v>
                </c:pt>
                <c:pt idx="10">
                  <c:v>0</c:v>
                </c:pt>
              </c:numCache>
            </c:numRef>
          </c:val>
          <c:extLst>
            <c:ext xmlns:c16="http://schemas.microsoft.com/office/drawing/2014/chart" uri="{C3380CC4-5D6E-409C-BE32-E72D297353CC}">
              <c16:uniqueId val="{00000000-7C7C-4B1C-9F2E-2BC12F0B4353}"/>
            </c:ext>
          </c:extLst>
        </c:ser>
        <c:ser>
          <c:idx val="1"/>
          <c:order val="1"/>
          <c:tx>
            <c:strRef>
              <c:f>'Ha por Región y Cat Manejo'!$C$120</c:f>
              <c:strCache>
                <c:ptCount val="1"/>
                <c:pt idx="0">
                  <c:v>Ha</c:v>
                </c:pt>
              </c:strCache>
            </c:strRef>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Manejo'!$A$121:$A$131</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Manejo'!$C$121:$C$131</c:f>
              <c:numCache>
                <c:formatCode>General</c:formatCode>
                <c:ptCount val="11"/>
                <c:pt idx="0">
                  <c:v>0</c:v>
                </c:pt>
                <c:pt idx="1">
                  <c:v>0</c:v>
                </c:pt>
                <c:pt idx="2">
                  <c:v>0</c:v>
                </c:pt>
                <c:pt idx="3">
                  <c:v>0</c:v>
                </c:pt>
                <c:pt idx="4">
                  <c:v>0</c:v>
                </c:pt>
                <c:pt idx="5">
                  <c:v>19013.439999999999</c:v>
                </c:pt>
                <c:pt idx="6">
                  <c:v>0</c:v>
                </c:pt>
                <c:pt idx="7">
                  <c:v>0</c:v>
                </c:pt>
                <c:pt idx="8">
                  <c:v>0</c:v>
                </c:pt>
                <c:pt idx="9">
                  <c:v>0</c:v>
                </c:pt>
                <c:pt idx="10">
                  <c:v>0</c:v>
                </c:pt>
              </c:numCache>
            </c:numRef>
          </c:val>
          <c:extLst>
            <c:ext xmlns:c16="http://schemas.microsoft.com/office/drawing/2014/chart" uri="{C3380CC4-5D6E-409C-BE32-E72D297353CC}">
              <c16:uniqueId val="{00000001-7C7C-4B1C-9F2E-2BC12F0B4353}"/>
            </c:ext>
          </c:extLst>
        </c:ser>
        <c:dLbls>
          <c:showLegendKey val="0"/>
          <c:showVal val="0"/>
          <c:showCatName val="0"/>
          <c:showSerName val="0"/>
          <c:showPercent val="0"/>
          <c:showBubbleSize val="0"/>
        </c:dLbls>
        <c:gapWidth val="150"/>
        <c:axId val="140699560"/>
        <c:axId val="140699952"/>
      </c:barChart>
      <c:catAx>
        <c:axId val="140699560"/>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0699952"/>
        <c:crosses val="autoZero"/>
        <c:auto val="1"/>
        <c:lblAlgn val="ctr"/>
        <c:lblOffset val="100"/>
        <c:tickMarkSkip val="1"/>
        <c:noMultiLvlLbl val="0"/>
      </c:catAx>
      <c:valAx>
        <c:axId val="140699952"/>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0699560"/>
        <c:crosses val="autoZero"/>
        <c:crossBetween val="between"/>
      </c:valAx>
      <c:spPr>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vertOverflow="ellipsis" anchor="ctr" anchorCtr="1"/>
          <a:lstStyle/>
          <a:p>
            <a:pPr algn="ctr">
              <a:defRPr sz="1800" b="1">
                <a:solidFill>
                  <a:schemeClr val="tx1"/>
                </a:solidFill>
                <a:latin typeface="+mn-lt"/>
                <a:ea typeface="+mn-ea"/>
                <a:cs typeface="+mn-cs"/>
              </a:defRPr>
            </a:pPr>
            <a:r>
              <a:rPr lang="es-GT" sz="1400"/>
              <a:t>Reserva Protectora de Manantiales por</a:t>
            </a:r>
            <a:r>
              <a:rPr lang="es-GT" sz="1400" baseline="0"/>
              <a:t> Región</a:t>
            </a:r>
            <a:endParaRPr lang="es-GT" sz="1400"/>
          </a:p>
        </c:rich>
      </c:tx>
      <c:overlay val="0"/>
      <c:spPr>
        <a:noFill/>
        <a:ln>
          <a:noFill/>
        </a:ln>
        <a:effectLst/>
      </c:spPr>
    </c:title>
    <c:autoTitleDeleted val="0"/>
    <c:plotArea>
      <c:layout/>
      <c:barChart>
        <c:barDir val="col"/>
        <c:grouping val="clustered"/>
        <c:varyColors val="0"/>
        <c:ser>
          <c:idx val="0"/>
          <c:order val="0"/>
          <c:tx>
            <c:strRef>
              <c:f>'Ha por Región y Cat Manejo'!$B$134</c:f>
              <c:strCache>
                <c:ptCount val="1"/>
                <c:pt idx="0">
                  <c:v>Reserva Protectora de Manantiales</c:v>
                </c:pt>
              </c:strCache>
            </c:strRef>
          </c:tx>
          <c:spPr>
            <a:solidFill>
              <a:schemeClr val="accent1"/>
            </a:solidFill>
            <a:ln>
              <a:noFill/>
            </a:ln>
            <a:effectLst/>
          </c:spPr>
          <c:invertIfNegative val="0"/>
          <c:cat>
            <c:strRef>
              <c:f>'Ha por Región y Cat Manejo'!$A$135:$A$145</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Manejo'!$B$135:$B$145</c:f>
              <c:numCache>
                <c:formatCode>General</c:formatCode>
                <c:ptCount val="11"/>
                <c:pt idx="0">
                  <c:v>0</c:v>
                </c:pt>
                <c:pt idx="1">
                  <c:v>0</c:v>
                </c:pt>
                <c:pt idx="2">
                  <c:v>0</c:v>
                </c:pt>
                <c:pt idx="3">
                  <c:v>0</c:v>
                </c:pt>
                <c:pt idx="4">
                  <c:v>0</c:v>
                </c:pt>
                <c:pt idx="5">
                  <c:v>1</c:v>
                </c:pt>
                <c:pt idx="6">
                  <c:v>0</c:v>
                </c:pt>
                <c:pt idx="7">
                  <c:v>0</c:v>
                </c:pt>
                <c:pt idx="8">
                  <c:v>0</c:v>
                </c:pt>
                <c:pt idx="9">
                  <c:v>0</c:v>
                </c:pt>
                <c:pt idx="10">
                  <c:v>0</c:v>
                </c:pt>
              </c:numCache>
            </c:numRef>
          </c:val>
          <c:extLst>
            <c:ext xmlns:c16="http://schemas.microsoft.com/office/drawing/2014/chart" uri="{C3380CC4-5D6E-409C-BE32-E72D297353CC}">
              <c16:uniqueId val="{00000000-38B3-47C7-97FB-410E1D9DD24D}"/>
            </c:ext>
          </c:extLst>
        </c:ser>
        <c:ser>
          <c:idx val="1"/>
          <c:order val="1"/>
          <c:tx>
            <c:strRef>
              <c:f>'Ha por Región y Cat Manejo'!$C$134</c:f>
              <c:strCache>
                <c:ptCount val="1"/>
                <c:pt idx="0">
                  <c:v>Ha</c:v>
                </c:pt>
              </c:strCache>
            </c:strRef>
          </c:tx>
          <c:spPr>
            <a:solidFill>
              <a:schemeClr val="accent2"/>
            </a:solidFill>
            <a:ln>
              <a:noFill/>
            </a:ln>
            <a:effectLst/>
          </c:spPr>
          <c:invertIfNegative val="0"/>
          <c:dLbls>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'Ha por Región y Cat Manejo'!$A$135:$A$145</c:f>
              <c:strCache>
                <c:ptCount val="11"/>
                <c:pt idx="0">
                  <c:v>Peten</c:v>
                </c:pt>
                <c:pt idx="1">
                  <c:v>Verapaces </c:v>
                </c:pt>
                <c:pt idx="2">
                  <c:v>Altiplano Central </c:v>
                </c:pt>
                <c:pt idx="3">
                  <c:v>Altiplano Occidental</c:v>
                </c:pt>
                <c:pt idx="4">
                  <c:v>Noroccidente</c:v>
                </c:pt>
                <c:pt idx="5">
                  <c:v>Nororiente</c:v>
                </c:pt>
                <c:pt idx="6">
                  <c:v>Oriente</c:v>
                </c:pt>
                <c:pt idx="7">
                  <c:v>Sur Oriente</c:v>
                </c:pt>
                <c:pt idx="8">
                  <c:v>Costa Sur</c:v>
                </c:pt>
                <c:pt idx="9">
                  <c:v>Metropolitana</c:v>
                </c:pt>
                <c:pt idx="10">
                  <c:v>Verapaces, Nororiente, Oriente</c:v>
                </c:pt>
              </c:strCache>
            </c:strRef>
          </c:cat>
          <c:val>
            <c:numRef>
              <c:f>'Ha por Región y Cat Manejo'!$C$135:$C$145</c:f>
              <c:numCache>
                <c:formatCode>General</c:formatCode>
                <c:ptCount val="11"/>
                <c:pt idx="0">
                  <c:v>0</c:v>
                </c:pt>
                <c:pt idx="1">
                  <c:v>0</c:v>
                </c:pt>
                <c:pt idx="2">
                  <c:v>0</c:v>
                </c:pt>
                <c:pt idx="3">
                  <c:v>0</c:v>
                </c:pt>
                <c:pt idx="4">
                  <c:v>0</c:v>
                </c:pt>
                <c:pt idx="5">
                  <c:v>47433</c:v>
                </c:pt>
                <c:pt idx="6">
                  <c:v>0</c:v>
                </c:pt>
                <c:pt idx="7">
                  <c:v>0</c:v>
                </c:pt>
                <c:pt idx="8">
                  <c:v>0</c:v>
                </c:pt>
                <c:pt idx="9">
                  <c:v>0</c:v>
                </c:pt>
                <c:pt idx="10">
                  <c:v>0</c:v>
                </c:pt>
              </c:numCache>
            </c:numRef>
          </c:val>
          <c:extLst>
            <c:ext xmlns:c16="http://schemas.microsoft.com/office/drawing/2014/chart" uri="{C3380CC4-5D6E-409C-BE32-E72D297353CC}">
              <c16:uniqueId val="{00000001-38B3-47C7-97FB-410E1D9DD24D}"/>
            </c:ext>
          </c:extLst>
        </c:ser>
        <c:dLbls>
          <c:showLegendKey val="0"/>
          <c:showVal val="0"/>
          <c:showCatName val="0"/>
          <c:showSerName val="0"/>
          <c:showPercent val="0"/>
          <c:showBubbleSize val="0"/>
        </c:dLbls>
        <c:gapWidth val="150"/>
        <c:axId val="140700736"/>
        <c:axId val="140701128"/>
      </c:barChart>
      <c:catAx>
        <c:axId val="140700736"/>
        <c:scaling>
          <c:orientation val="minMax"/>
        </c:scaling>
        <c:delete val="0"/>
        <c:axPos val="b"/>
        <c:numFmt formatCode="General" sourceLinked="0"/>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0701128"/>
        <c:crosses val="autoZero"/>
        <c:auto val="1"/>
        <c:lblAlgn val="ctr"/>
        <c:lblOffset val="100"/>
        <c:tickMarkSkip val="1"/>
        <c:noMultiLvlLbl val="0"/>
      </c:catAx>
      <c:valAx>
        <c:axId val="140701128"/>
        <c:scaling>
          <c:orientation val="minMax"/>
        </c:scaling>
        <c:delete val="0"/>
        <c:axPos val="l"/>
        <c:majorGridlines>
          <c:spPr>
            <a:ln>
              <a:solidFill>
                <a:schemeClr val="tx1">
                  <a:lumMod val="50000"/>
                  <a:lumOff val="50000"/>
                </a:schemeClr>
              </a:solidFill>
            </a:ln>
            <a:effectLst/>
          </c:spPr>
        </c:majorGridlines>
        <c:numFmt formatCode="General" sourceLinked="1"/>
        <c:majorTickMark val="none"/>
        <c:minorTickMark val="none"/>
        <c:tickLblPos val="nextTo"/>
        <c:spPr>
          <a:noFill/>
          <a:ln>
            <a:solidFill>
              <a:schemeClr val="tx1">
                <a:lumMod val="50000"/>
                <a:lumOff val="50000"/>
              </a:schemeClr>
            </a:solidFill>
          </a:ln>
          <a:effectLst/>
        </c:spPr>
        <c:txPr>
          <a:bodyPr rot="-60000000" spcFirstLastPara="0" vertOverflow="ellipsis" horzOverflow="overflow" vert="horz" wrap="square" anchor="ctr" anchorCtr="1"/>
          <a:lstStyle/>
          <a:p>
            <a:pPr>
              <a:defRPr sz="1000" b="0">
                <a:solidFill>
                  <a:schemeClr val="tx1"/>
                </a:solidFill>
                <a:latin typeface="+mn-lt"/>
                <a:ea typeface="+mn-ea"/>
                <a:cs typeface="+mn-cs"/>
              </a:defRPr>
            </a:pPr>
            <a:endParaRPr lang="es-MX"/>
          </a:p>
        </c:txPr>
        <c:crossAx val="140700736"/>
        <c:crosses val="autoZero"/>
        <c:crossBetween val="between"/>
      </c:valAx>
      <c:spPr>
        <a:ln>
          <a:noFill/>
        </a:ln>
        <a:effectLst/>
      </c:spPr>
    </c:plotArea>
    <c:legend>
      <c:legendPos val="r"/>
      <c:overlay val="0"/>
      <c:spPr>
        <a:noFill/>
        <a:ln>
          <a:noFill/>
        </a:ln>
        <a:effectLst/>
      </c:spPr>
      <c:txPr>
        <a:bodyPr rot="0" spcFirstLastPara="0" vertOverflow="ellipsis" horzOverflow="overflow" vert="horz" wrap="square" anchor="ctr" anchorCtr="1"/>
        <a:lstStyle/>
        <a:p>
          <a:pPr>
            <a:defRPr sz="1000" b="0">
              <a:solidFill>
                <a:schemeClr val="tx1"/>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tint val="75000"/>
        </a:schemeClr>
      </a:solidFill>
      <a:prstDash val="solid"/>
    </a:ln>
    <a:effectLst/>
  </c:spPr>
  <c:txPr>
    <a:bodyPr rot="0" spcFirstLastPara="0" vertOverflow="ellipsis" horzOverflow="overflow" vert="horz" wrap="square" anchor="ctr" anchorCtr="1"/>
    <a:lstStyle/>
    <a:p>
      <a:pPr>
        <a:defRPr lang="es-ES"/>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drawing1.xml><?xml version="1.0" encoding="utf-8"?>
<xdr:wsDr xmlns:xdr="http://schemas.openxmlformats.org/drawingml/2006/spreadsheetDrawing" xmlns:a="http://schemas.openxmlformats.org/drawingml/2006/main">
  <xdr:twoCellAnchor>
    <xdr:from>
      <xdr:col>3</xdr:col>
      <xdr:colOff>371474</xdr:colOff>
      <xdr:row>15</xdr:row>
      <xdr:rowOff>114300</xdr:rowOff>
    </xdr:from>
    <xdr:to>
      <xdr:col>17</xdr:col>
      <xdr:colOff>66674</xdr:colOff>
      <xdr:row>29</xdr:row>
      <xdr:rowOff>119062</xdr:rowOff>
    </xdr:to>
    <xdr:graphicFrame macro="">
      <xdr:nvGraphicFramePr>
        <xdr:cNvPr id="3" name="2 Gráfico">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409575</xdr:colOff>
      <xdr:row>31</xdr:row>
      <xdr:rowOff>166687</xdr:rowOff>
    </xdr:from>
    <xdr:to>
      <xdr:col>17</xdr:col>
      <xdr:colOff>57150</xdr:colOff>
      <xdr:row>44</xdr:row>
      <xdr:rowOff>128587</xdr:rowOff>
    </xdr:to>
    <xdr:graphicFrame macro="">
      <xdr:nvGraphicFramePr>
        <xdr:cNvPr id="4" name="3 Gráfico">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400050</xdr:colOff>
      <xdr:row>46</xdr:row>
      <xdr:rowOff>4761</xdr:rowOff>
    </xdr:from>
    <xdr:to>
      <xdr:col>17</xdr:col>
      <xdr:colOff>114300</xdr:colOff>
      <xdr:row>60</xdr:row>
      <xdr:rowOff>76200</xdr:rowOff>
    </xdr:to>
    <xdr:graphicFrame macro="">
      <xdr:nvGraphicFramePr>
        <xdr:cNvPr id="5" name="4 Gráfico">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409574</xdr:colOff>
      <xdr:row>63</xdr:row>
      <xdr:rowOff>23812</xdr:rowOff>
    </xdr:from>
    <xdr:to>
      <xdr:col>17</xdr:col>
      <xdr:colOff>123824</xdr:colOff>
      <xdr:row>74</xdr:row>
      <xdr:rowOff>409575</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466725</xdr:colOff>
      <xdr:row>76</xdr:row>
      <xdr:rowOff>176212</xdr:rowOff>
    </xdr:from>
    <xdr:to>
      <xdr:col>17</xdr:col>
      <xdr:colOff>95250</xdr:colOff>
      <xdr:row>88</xdr:row>
      <xdr:rowOff>476250</xdr:rowOff>
    </xdr:to>
    <xdr:graphicFrame macro="">
      <xdr:nvGraphicFramePr>
        <xdr:cNvPr id="6" name="5 Gráfico">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495300</xdr:colOff>
      <xdr:row>90</xdr:row>
      <xdr:rowOff>147637</xdr:rowOff>
    </xdr:from>
    <xdr:to>
      <xdr:col>17</xdr:col>
      <xdr:colOff>95251</xdr:colOff>
      <xdr:row>103</xdr:row>
      <xdr:rowOff>28575</xdr:rowOff>
    </xdr:to>
    <xdr:graphicFrame macro="">
      <xdr:nvGraphicFramePr>
        <xdr:cNvPr id="7" name="6 Gráfico">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19050</xdr:colOff>
      <xdr:row>104</xdr:row>
      <xdr:rowOff>195262</xdr:rowOff>
    </xdr:from>
    <xdr:to>
      <xdr:col>17</xdr:col>
      <xdr:colOff>85725</xdr:colOff>
      <xdr:row>117</xdr:row>
      <xdr:rowOff>0</xdr:rowOff>
    </xdr:to>
    <xdr:graphicFrame macro="">
      <xdr:nvGraphicFramePr>
        <xdr:cNvPr id="8" name="7 Gráfico">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76200</xdr:colOff>
      <xdr:row>118</xdr:row>
      <xdr:rowOff>185737</xdr:rowOff>
    </xdr:from>
    <xdr:to>
      <xdr:col>17</xdr:col>
      <xdr:colOff>47625</xdr:colOff>
      <xdr:row>130</xdr:row>
      <xdr:rowOff>433387</xdr:rowOff>
    </xdr:to>
    <xdr:graphicFrame macro="">
      <xdr:nvGraphicFramePr>
        <xdr:cNvPr id="9" name="8 Gráfico">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104775</xdr:colOff>
      <xdr:row>133</xdr:row>
      <xdr:rowOff>0</xdr:rowOff>
    </xdr:from>
    <xdr:to>
      <xdr:col>17</xdr:col>
      <xdr:colOff>38100</xdr:colOff>
      <xdr:row>144</xdr:row>
      <xdr:rowOff>485775</xdr:rowOff>
    </xdr:to>
    <xdr:graphicFrame macro="">
      <xdr:nvGraphicFramePr>
        <xdr:cNvPr id="10" name="9 Gráfico">
          <a:extLst>
            <a:ext uri="{FF2B5EF4-FFF2-40B4-BE49-F238E27FC236}">
              <a16:creationId xmlns:a16="http://schemas.microsoft.com/office/drawing/2014/main" id="{00000000-0008-0000-0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114300</xdr:colOff>
      <xdr:row>147</xdr:row>
      <xdr:rowOff>14286</xdr:rowOff>
    </xdr:from>
    <xdr:to>
      <xdr:col>17</xdr:col>
      <xdr:colOff>47625</xdr:colOff>
      <xdr:row>158</xdr:row>
      <xdr:rowOff>466724</xdr:rowOff>
    </xdr:to>
    <xdr:graphicFrame macro="">
      <xdr:nvGraphicFramePr>
        <xdr:cNvPr id="11" name="10 Gráfico">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209550</xdr:colOff>
      <xdr:row>161</xdr:row>
      <xdr:rowOff>14286</xdr:rowOff>
    </xdr:from>
    <xdr:to>
      <xdr:col>17</xdr:col>
      <xdr:colOff>9525</xdr:colOff>
      <xdr:row>173</xdr:row>
      <xdr:rowOff>28574</xdr:rowOff>
    </xdr:to>
    <xdr:graphicFrame macro="">
      <xdr:nvGraphicFramePr>
        <xdr:cNvPr id="12" name="11 Gráfico">
          <a:extLst>
            <a:ext uri="{FF2B5EF4-FFF2-40B4-BE49-F238E27FC236}">
              <a16:creationId xmlns:a16="http://schemas.microsoft.com/office/drawing/2014/main" id="{00000000-0008-0000-04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247649</xdr:colOff>
      <xdr:row>175</xdr:row>
      <xdr:rowOff>19050</xdr:rowOff>
    </xdr:from>
    <xdr:to>
      <xdr:col>16</xdr:col>
      <xdr:colOff>361949</xdr:colOff>
      <xdr:row>187</xdr:row>
      <xdr:rowOff>1</xdr:rowOff>
    </xdr:to>
    <xdr:graphicFrame macro="">
      <xdr:nvGraphicFramePr>
        <xdr:cNvPr id="13" name="12 Gráfico">
          <a:extLst>
            <a:ext uri="{FF2B5EF4-FFF2-40B4-BE49-F238E27FC236}">
              <a16:creationId xmlns:a16="http://schemas.microsoft.com/office/drawing/2014/main" id="{00000000-0008-0000-04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238125</xdr:colOff>
      <xdr:row>188</xdr:row>
      <xdr:rowOff>195262</xdr:rowOff>
    </xdr:from>
    <xdr:to>
      <xdr:col>16</xdr:col>
      <xdr:colOff>361950</xdr:colOff>
      <xdr:row>200</xdr:row>
      <xdr:rowOff>442912</xdr:rowOff>
    </xdr:to>
    <xdr:graphicFrame macro="">
      <xdr:nvGraphicFramePr>
        <xdr:cNvPr id="14" name="13 Gráfico">
          <a:extLst>
            <a:ext uri="{FF2B5EF4-FFF2-40B4-BE49-F238E27FC236}">
              <a16:creationId xmlns:a16="http://schemas.microsoft.com/office/drawing/2014/main" id="{00000000-0008-0000-04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285750</xdr:colOff>
      <xdr:row>202</xdr:row>
      <xdr:rowOff>176212</xdr:rowOff>
    </xdr:from>
    <xdr:to>
      <xdr:col>16</xdr:col>
      <xdr:colOff>295275</xdr:colOff>
      <xdr:row>214</xdr:row>
      <xdr:rowOff>423862</xdr:rowOff>
    </xdr:to>
    <xdr:graphicFrame macro="">
      <xdr:nvGraphicFramePr>
        <xdr:cNvPr id="15" name="14 Gráfico">
          <a:extLst>
            <a:ext uri="{FF2B5EF4-FFF2-40B4-BE49-F238E27FC236}">
              <a16:creationId xmlns:a16="http://schemas.microsoft.com/office/drawing/2014/main"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342899</xdr:colOff>
      <xdr:row>217</xdr:row>
      <xdr:rowOff>33337</xdr:rowOff>
    </xdr:from>
    <xdr:to>
      <xdr:col>16</xdr:col>
      <xdr:colOff>266699</xdr:colOff>
      <xdr:row>228</xdr:row>
      <xdr:rowOff>481012</xdr:rowOff>
    </xdr:to>
    <xdr:graphicFrame macro="">
      <xdr:nvGraphicFramePr>
        <xdr:cNvPr id="16" name="15 Gráfico">
          <a:extLst>
            <a:ext uri="{FF2B5EF4-FFF2-40B4-BE49-F238E27FC236}">
              <a16:creationId xmlns:a16="http://schemas.microsoft.com/office/drawing/2014/main" id="{00000000-0008-0000-04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438149</xdr:colOff>
      <xdr:row>231</xdr:row>
      <xdr:rowOff>23812</xdr:rowOff>
    </xdr:from>
    <xdr:to>
      <xdr:col>16</xdr:col>
      <xdr:colOff>228599</xdr:colOff>
      <xdr:row>243</xdr:row>
      <xdr:rowOff>166687</xdr:rowOff>
    </xdr:to>
    <xdr:graphicFrame macro="">
      <xdr:nvGraphicFramePr>
        <xdr:cNvPr id="17" name="16 Gráfico">
          <a:extLst>
            <a:ext uri="{FF2B5EF4-FFF2-40B4-BE49-F238E27FC236}">
              <a16:creationId xmlns:a16="http://schemas.microsoft.com/office/drawing/2014/main" id="{00000000-0008-0000-04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438150</xdr:colOff>
      <xdr:row>1</xdr:row>
      <xdr:rowOff>176212</xdr:rowOff>
    </xdr:from>
    <xdr:to>
      <xdr:col>9</xdr:col>
      <xdr:colOff>438150</xdr:colOff>
      <xdr:row>16</xdr:row>
      <xdr:rowOff>61912</xdr:rowOff>
    </xdr:to>
    <xdr:graphicFrame macro="">
      <xdr:nvGraphicFramePr>
        <xdr:cNvPr id="6" name="5 Gráfico">
          <a:extLst>
            <a:ext uri="{FF2B5EF4-FFF2-40B4-BE49-F238E27FC236}">
              <a16:creationId xmlns:a16="http://schemas.microsoft.com/office/drawing/2014/main" id="{00000000-0008-0000-0F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600075</xdr:colOff>
      <xdr:row>10</xdr:row>
      <xdr:rowOff>157162</xdr:rowOff>
    </xdr:from>
    <xdr:to>
      <xdr:col>9</xdr:col>
      <xdr:colOff>714375</xdr:colOff>
      <xdr:row>25</xdr:row>
      <xdr:rowOff>42862</xdr:rowOff>
    </xdr:to>
    <xdr:graphicFrame macro="">
      <xdr:nvGraphicFramePr>
        <xdr:cNvPr id="4" name="3 Gráfico">
          <a:extLst>
            <a:ext uri="{FF2B5EF4-FFF2-40B4-BE49-F238E27FC236}">
              <a16:creationId xmlns:a16="http://schemas.microsoft.com/office/drawing/2014/main" id="{00000000-0008-0000-1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209550</xdr:colOff>
      <xdr:row>14</xdr:row>
      <xdr:rowOff>185737</xdr:rowOff>
    </xdr:from>
    <xdr:to>
      <xdr:col>9</xdr:col>
      <xdr:colOff>209550</xdr:colOff>
      <xdr:row>29</xdr:row>
      <xdr:rowOff>71437</xdr:rowOff>
    </xdr:to>
    <xdr:graphicFrame macro="">
      <xdr:nvGraphicFramePr>
        <xdr:cNvPr id="9" name="8 Gráfico">
          <a:extLst>
            <a:ext uri="{FF2B5EF4-FFF2-40B4-BE49-F238E27FC236}">
              <a16:creationId xmlns:a16="http://schemas.microsoft.com/office/drawing/2014/main" id="{00000000-0008-0000-1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600075</xdr:colOff>
      <xdr:row>8</xdr:row>
      <xdr:rowOff>119062</xdr:rowOff>
    </xdr:from>
    <xdr:to>
      <xdr:col>6</xdr:col>
      <xdr:colOff>400050</xdr:colOff>
      <xdr:row>23</xdr:row>
      <xdr:rowOff>4762</xdr:rowOff>
    </xdr:to>
    <xdr:graphicFrame macro="">
      <xdr:nvGraphicFramePr>
        <xdr:cNvPr id="2" name="1 Gráfico">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257176</xdr:colOff>
      <xdr:row>117</xdr:row>
      <xdr:rowOff>19050</xdr:rowOff>
    </xdr:from>
    <xdr:to>
      <xdr:col>12</xdr:col>
      <xdr:colOff>600075</xdr:colOff>
      <xdr:row>135</xdr:row>
      <xdr:rowOff>114299</xdr:rowOff>
    </xdr:to>
    <xdr:graphicFrame macro="">
      <xdr:nvGraphicFramePr>
        <xdr:cNvPr id="2" name="Gráfico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911679</xdr:colOff>
      <xdr:row>47</xdr:row>
      <xdr:rowOff>9522</xdr:rowOff>
    </xdr:from>
    <xdr:to>
      <xdr:col>6</xdr:col>
      <xdr:colOff>272143</xdr:colOff>
      <xdr:row>66</xdr:row>
      <xdr:rowOff>40819</xdr:rowOff>
    </xdr:to>
    <xdr:graphicFrame macro="">
      <xdr:nvGraphicFramePr>
        <xdr:cNvPr id="2" name="1 Gráfico">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219074</xdr:colOff>
      <xdr:row>16</xdr:row>
      <xdr:rowOff>180974</xdr:rowOff>
    </xdr:from>
    <xdr:to>
      <xdr:col>5</xdr:col>
      <xdr:colOff>209549</xdr:colOff>
      <xdr:row>33</xdr:row>
      <xdr:rowOff>57149</xdr:rowOff>
    </xdr:to>
    <xdr:graphicFrame macro="">
      <xdr:nvGraphicFramePr>
        <xdr:cNvPr id="3" name="2 Gráfico">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38100</xdr:colOff>
      <xdr:row>16</xdr:row>
      <xdr:rowOff>142874</xdr:rowOff>
    </xdr:from>
    <xdr:to>
      <xdr:col>15</xdr:col>
      <xdr:colOff>257175</xdr:colOff>
      <xdr:row>34</xdr:row>
      <xdr:rowOff>0</xdr:rowOff>
    </xdr:to>
    <xdr:graphicFrame macro="">
      <xdr:nvGraphicFramePr>
        <xdr:cNvPr id="6" name="5 Gráfico">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57151</xdr:colOff>
      <xdr:row>45</xdr:row>
      <xdr:rowOff>4761</xdr:rowOff>
    </xdr:from>
    <xdr:to>
      <xdr:col>12</xdr:col>
      <xdr:colOff>47626</xdr:colOff>
      <xdr:row>65</xdr:row>
      <xdr:rowOff>95250</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600075</xdr:colOff>
      <xdr:row>11</xdr:row>
      <xdr:rowOff>19047</xdr:rowOff>
    </xdr:from>
    <xdr:to>
      <xdr:col>19</xdr:col>
      <xdr:colOff>59531</xdr:colOff>
      <xdr:row>42</xdr:row>
      <xdr:rowOff>100012</xdr:rowOff>
    </xdr:to>
    <xdr:graphicFrame macro="">
      <xdr:nvGraphicFramePr>
        <xdr:cNvPr id="5" name="4 Gráfico">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35718</xdr:colOff>
      <xdr:row>50</xdr:row>
      <xdr:rowOff>142875</xdr:rowOff>
    </xdr:from>
    <xdr:to>
      <xdr:col>14</xdr:col>
      <xdr:colOff>440531</xdr:colOff>
      <xdr:row>73</xdr:row>
      <xdr:rowOff>11906</xdr:rowOff>
    </xdr:to>
    <xdr:graphicFrame macro="">
      <xdr:nvGraphicFramePr>
        <xdr:cNvPr id="7" name="6 Gráfico">
          <a:extLst>
            <a:ext uri="{FF2B5EF4-FFF2-40B4-BE49-F238E27FC236}">
              <a16:creationId xmlns:a16="http://schemas.microsoft.com/office/drawing/2014/main" id="{00000000-0008-0000-0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309561</xdr:colOff>
      <xdr:row>80</xdr:row>
      <xdr:rowOff>122633</xdr:rowOff>
    </xdr:from>
    <xdr:to>
      <xdr:col>15</xdr:col>
      <xdr:colOff>190498</xdr:colOff>
      <xdr:row>102</xdr:row>
      <xdr:rowOff>71438</xdr:rowOff>
    </xdr:to>
    <xdr:graphicFrame macro="">
      <xdr:nvGraphicFramePr>
        <xdr:cNvPr id="8" name="7 Gráfico">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371475</xdr:colOff>
      <xdr:row>1</xdr:row>
      <xdr:rowOff>185737</xdr:rowOff>
    </xdr:from>
    <xdr:to>
      <xdr:col>12</xdr:col>
      <xdr:colOff>200025</xdr:colOff>
      <xdr:row>20</xdr:row>
      <xdr:rowOff>142875</xdr:rowOff>
    </xdr:to>
    <xdr:graphicFrame macro="">
      <xdr:nvGraphicFramePr>
        <xdr:cNvPr id="3" name="2 Gráfico">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600075</xdr:colOff>
      <xdr:row>21</xdr:row>
      <xdr:rowOff>90487</xdr:rowOff>
    </xdr:from>
    <xdr:to>
      <xdr:col>8</xdr:col>
      <xdr:colOff>600075</xdr:colOff>
      <xdr:row>40</xdr:row>
      <xdr:rowOff>85725</xdr:rowOff>
    </xdr:to>
    <xdr:graphicFrame macro="">
      <xdr:nvGraphicFramePr>
        <xdr:cNvPr id="2" name="1 Gráfico">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209550</xdr:colOff>
      <xdr:row>0</xdr:row>
      <xdr:rowOff>61912</xdr:rowOff>
    </xdr:from>
    <xdr:to>
      <xdr:col>13</xdr:col>
      <xdr:colOff>209550</xdr:colOff>
      <xdr:row>14</xdr:row>
      <xdr:rowOff>119062</xdr:rowOff>
    </xdr:to>
    <xdr:graphicFrame macro="">
      <xdr:nvGraphicFramePr>
        <xdr:cNvPr id="2" name="1 Gráfico">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171450</xdr:colOff>
      <xdr:row>0</xdr:row>
      <xdr:rowOff>85725</xdr:rowOff>
    </xdr:from>
    <xdr:to>
      <xdr:col>9</xdr:col>
      <xdr:colOff>142875</xdr:colOff>
      <xdr:row>13</xdr:row>
      <xdr:rowOff>0</xdr:rowOff>
    </xdr:to>
    <xdr:graphicFrame macro="">
      <xdr:nvGraphicFramePr>
        <xdr:cNvPr id="2" name="1 Gráfico">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152400</xdr:colOff>
      <xdr:row>14</xdr:row>
      <xdr:rowOff>80962</xdr:rowOff>
    </xdr:from>
    <xdr:to>
      <xdr:col>9</xdr:col>
      <xdr:colOff>152400</xdr:colOff>
      <xdr:row>27</xdr:row>
      <xdr:rowOff>57150</xdr:rowOff>
    </xdr:to>
    <xdr:graphicFrame macro="">
      <xdr:nvGraphicFramePr>
        <xdr:cNvPr id="3" name="2 Gráfico">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411087</xdr:colOff>
      <xdr:row>1</xdr:row>
      <xdr:rowOff>171167</xdr:rowOff>
    </xdr:from>
    <xdr:to>
      <xdr:col>9</xdr:col>
      <xdr:colOff>382715</xdr:colOff>
      <xdr:row>34</xdr:row>
      <xdr:rowOff>142875</xdr:rowOff>
    </xdr:to>
    <xdr:grpSp>
      <xdr:nvGrpSpPr>
        <xdr:cNvPr id="2" name="Group 1">
          <a:extLst>
            <a:ext uri="{FF2B5EF4-FFF2-40B4-BE49-F238E27FC236}">
              <a16:creationId xmlns:a16="http://schemas.microsoft.com/office/drawing/2014/main" id="{00000000-0008-0000-0E00-000002000000}"/>
            </a:ext>
          </a:extLst>
        </xdr:cNvPr>
        <xdr:cNvGrpSpPr>
          <a:grpSpLocks noChangeAspect="1"/>
        </xdr:cNvGrpSpPr>
      </xdr:nvGrpSpPr>
      <xdr:grpSpPr>
        <a:xfrm>
          <a:off x="1611237" y="361667"/>
          <a:ext cx="4172153" cy="6258208"/>
          <a:chOff x="1709" y="2506"/>
          <a:chExt cx="7471" cy="9029"/>
        </a:xfrm>
      </xdr:grpSpPr>
      <xdr:sp macro="" textlink="">
        <xdr:nvSpPr>
          <xdr:cNvPr id="3" name="AutoShape 52">
            <a:extLst>
              <a:ext uri="{FF2B5EF4-FFF2-40B4-BE49-F238E27FC236}">
                <a16:creationId xmlns:a16="http://schemas.microsoft.com/office/drawing/2014/main" id="{00000000-0008-0000-0E00-000003000000}"/>
              </a:ext>
            </a:extLst>
          </xdr:cNvPr>
          <xdr:cNvSpPr>
            <a:spLocks noChangeAspect="1" noChangeArrowheads="1" noTextEdit="1"/>
          </xdr:cNvSpPr>
        </xdr:nvSpPr>
        <xdr:spPr>
          <a:xfrm>
            <a:off x="1709" y="3221"/>
            <a:ext cx="7471" cy="8314"/>
          </a:xfrm>
          <a:prstGeom prst="rect">
            <a:avLst/>
          </a:prstGeom>
          <a:noFill/>
        </xdr:spPr>
        <xdr:txBody>
          <a:bodyPr vert="horz" wrap="square" lIns="91440" tIns="45720" rIns="91440" bIns="45720" numCol="1" anchor="t"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_tradnl"/>
          </a:p>
        </xdr:txBody>
      </xdr:sp>
      <xdr:sp macro="" textlink="">
        <xdr:nvSpPr>
          <xdr:cNvPr id="7" name="_s5222">
            <a:extLst>
              <a:ext uri="{FF2B5EF4-FFF2-40B4-BE49-F238E27FC236}">
                <a16:creationId xmlns:a16="http://schemas.microsoft.com/office/drawing/2014/main" id="{00000000-0008-0000-0E00-000007000000}"/>
              </a:ext>
            </a:extLst>
          </xdr:cNvPr>
          <xdr:cNvSpPr>
            <a:spLocks noChangeShapeType="1"/>
          </xdr:cNvSpPr>
        </xdr:nvSpPr>
        <xdr:spPr>
          <a:xfrm flipV="1">
            <a:off x="3923" y="7802"/>
            <a:ext cx="353" cy="548"/>
          </a:xfrm>
          <a:prstGeom prst="bentConnector2">
            <a:avLst/>
          </a:prstGeom>
          <a:noFill/>
          <a:ln w="28575">
            <a:solidFill>
              <a:srgbClr val="000000"/>
            </a:solidFill>
            <a:miter lim="800000"/>
          </a:ln>
        </xdr:spPr>
        <xdr:txBody>
          <a:bodyPr vert="horz" wrap="square" lIns="91440" tIns="45720" rIns="91440" bIns="45720" numCol="1" anchor="t"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_tradnl"/>
          </a:p>
        </xdr:txBody>
      </xdr:sp>
      <xdr:sp macro="" textlink="">
        <xdr:nvSpPr>
          <xdr:cNvPr id="12" name="_s5211">
            <a:extLst>
              <a:ext uri="{FF2B5EF4-FFF2-40B4-BE49-F238E27FC236}">
                <a16:creationId xmlns:a16="http://schemas.microsoft.com/office/drawing/2014/main" id="{00000000-0008-0000-0E00-00000C000000}"/>
              </a:ext>
            </a:extLst>
          </xdr:cNvPr>
          <xdr:cNvSpPr>
            <a:spLocks noChangeShapeType="1"/>
          </xdr:cNvSpPr>
        </xdr:nvSpPr>
        <xdr:spPr>
          <a:xfrm flipV="1">
            <a:off x="5248" y="3344"/>
            <a:ext cx="336" cy="5847"/>
          </a:xfrm>
          <a:prstGeom prst="bentConnector2">
            <a:avLst/>
          </a:prstGeom>
          <a:noFill/>
          <a:ln w="28575">
            <a:solidFill>
              <a:srgbClr val="000000"/>
            </a:solidFill>
            <a:miter lim="800000"/>
          </a:ln>
        </xdr:spPr>
        <xdr:txBody>
          <a:bodyPr vert="horz" wrap="square" lIns="91440" tIns="45720" rIns="91440" bIns="45720" numCol="1" anchor="t"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_tradnl"/>
          </a:p>
        </xdr:txBody>
      </xdr:sp>
      <xdr:sp macro="" textlink="">
        <xdr:nvSpPr>
          <xdr:cNvPr id="13" name="_s5210">
            <a:extLst>
              <a:ext uri="{FF2B5EF4-FFF2-40B4-BE49-F238E27FC236}">
                <a16:creationId xmlns:a16="http://schemas.microsoft.com/office/drawing/2014/main" id="{00000000-0008-0000-0E00-00000D000000}"/>
              </a:ext>
            </a:extLst>
          </xdr:cNvPr>
          <xdr:cNvSpPr>
            <a:spLocks noChangeShapeType="1"/>
          </xdr:cNvSpPr>
        </xdr:nvSpPr>
        <xdr:spPr>
          <a:xfrm flipV="1">
            <a:off x="5242" y="3220"/>
            <a:ext cx="355" cy="4499"/>
          </a:xfrm>
          <a:prstGeom prst="bentConnector2">
            <a:avLst/>
          </a:prstGeom>
          <a:noFill/>
          <a:ln w="28575">
            <a:solidFill>
              <a:srgbClr val="000000"/>
            </a:solidFill>
            <a:miter lim="800000"/>
          </a:ln>
        </xdr:spPr>
        <xdr:txBody>
          <a:bodyPr vert="horz" wrap="square" lIns="91440" tIns="45720" rIns="91440" bIns="45720" numCol="1" anchor="t"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_tradnl"/>
          </a:p>
        </xdr:txBody>
      </xdr:sp>
      <xdr:sp macro="" textlink="">
        <xdr:nvSpPr>
          <xdr:cNvPr id="14" name="_s5209">
            <a:extLst>
              <a:ext uri="{FF2B5EF4-FFF2-40B4-BE49-F238E27FC236}">
                <a16:creationId xmlns:a16="http://schemas.microsoft.com/office/drawing/2014/main" id="{00000000-0008-0000-0E00-00000E000000}"/>
              </a:ext>
            </a:extLst>
          </xdr:cNvPr>
          <xdr:cNvSpPr>
            <a:spLocks noChangeShapeType="1"/>
          </xdr:cNvSpPr>
        </xdr:nvSpPr>
        <xdr:spPr>
          <a:xfrm flipV="1">
            <a:off x="5242" y="3770"/>
            <a:ext cx="355" cy="2195"/>
          </a:xfrm>
          <a:prstGeom prst="bentConnector2">
            <a:avLst/>
          </a:prstGeom>
          <a:noFill/>
          <a:ln w="28575">
            <a:solidFill>
              <a:srgbClr val="000000"/>
            </a:solidFill>
            <a:miter lim="800000"/>
          </a:ln>
        </xdr:spPr>
        <xdr:txBody>
          <a:bodyPr vert="horz" wrap="square" lIns="91440" tIns="45720" rIns="91440" bIns="45720" numCol="1" anchor="t"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_tradnl"/>
          </a:p>
        </xdr:txBody>
      </xdr:sp>
      <xdr:sp macro="" textlink="">
        <xdr:nvSpPr>
          <xdr:cNvPr id="15" name="_s5208">
            <a:extLst>
              <a:ext uri="{FF2B5EF4-FFF2-40B4-BE49-F238E27FC236}">
                <a16:creationId xmlns:a16="http://schemas.microsoft.com/office/drawing/2014/main" id="{00000000-0008-0000-0E00-00000F000000}"/>
              </a:ext>
            </a:extLst>
          </xdr:cNvPr>
          <xdr:cNvSpPr>
            <a:spLocks noChangeShapeType="1"/>
          </xdr:cNvSpPr>
        </xdr:nvSpPr>
        <xdr:spPr>
          <a:xfrm flipV="1">
            <a:off x="5242" y="3935"/>
            <a:ext cx="355" cy="1208"/>
          </a:xfrm>
          <a:prstGeom prst="bentConnector2">
            <a:avLst/>
          </a:prstGeom>
          <a:noFill/>
          <a:ln w="28575">
            <a:solidFill>
              <a:srgbClr val="000000"/>
            </a:solidFill>
            <a:miter lim="800000"/>
          </a:ln>
        </xdr:spPr>
        <xdr:txBody>
          <a:bodyPr vert="horz" wrap="square" lIns="91440" tIns="45720" rIns="91440" bIns="45720" numCol="1" anchor="t"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_tradnl"/>
          </a:p>
        </xdr:txBody>
      </xdr:sp>
      <xdr:sp macro="" textlink="">
        <xdr:nvSpPr>
          <xdr:cNvPr id="16" name="_s5207">
            <a:extLst>
              <a:ext uri="{FF2B5EF4-FFF2-40B4-BE49-F238E27FC236}">
                <a16:creationId xmlns:a16="http://schemas.microsoft.com/office/drawing/2014/main" id="{00000000-0008-0000-0E00-000010000000}"/>
              </a:ext>
            </a:extLst>
          </xdr:cNvPr>
          <xdr:cNvSpPr>
            <a:spLocks noChangeShapeType="1"/>
          </xdr:cNvSpPr>
        </xdr:nvSpPr>
        <xdr:spPr>
          <a:xfrm flipV="1">
            <a:off x="5242" y="3770"/>
            <a:ext cx="355" cy="220"/>
          </a:xfrm>
          <a:prstGeom prst="bentConnector2">
            <a:avLst/>
          </a:prstGeom>
          <a:noFill/>
          <a:ln w="28575">
            <a:solidFill>
              <a:srgbClr val="000000"/>
            </a:solidFill>
            <a:miter lim="800000"/>
          </a:ln>
        </xdr:spPr>
        <xdr:txBody>
          <a:bodyPr vert="horz" wrap="square" lIns="91440" tIns="45720" rIns="91440" bIns="45720" numCol="1" anchor="t"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_tradnl"/>
          </a:p>
        </xdr:txBody>
      </xdr:sp>
      <xdr:sp macro="" textlink="">
        <xdr:nvSpPr>
          <xdr:cNvPr id="17" name="_s5206">
            <a:extLst>
              <a:ext uri="{FF2B5EF4-FFF2-40B4-BE49-F238E27FC236}">
                <a16:creationId xmlns:a16="http://schemas.microsoft.com/office/drawing/2014/main" id="{00000000-0008-0000-0E00-000011000000}"/>
              </a:ext>
            </a:extLst>
          </xdr:cNvPr>
          <xdr:cNvSpPr>
            <a:spLocks noChangeShapeType="1"/>
          </xdr:cNvSpPr>
        </xdr:nvSpPr>
        <xdr:spPr>
          <a:xfrm flipV="1">
            <a:off x="6656" y="2671"/>
            <a:ext cx="966" cy="412"/>
          </a:xfrm>
          <a:prstGeom prst="bentConnector2">
            <a:avLst/>
          </a:prstGeom>
          <a:noFill/>
          <a:ln w="28575">
            <a:solidFill>
              <a:srgbClr val="000000"/>
            </a:solidFill>
            <a:miter lim="800000"/>
          </a:ln>
        </xdr:spPr>
        <xdr:txBody>
          <a:bodyPr vert="horz" wrap="square" lIns="91440" tIns="45720" rIns="91440" bIns="45720" numCol="1" anchor="t"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_tradnl"/>
          </a:p>
        </xdr:txBody>
      </xdr:sp>
      <xdr:sp macro="" textlink="">
        <xdr:nvSpPr>
          <xdr:cNvPr id="23" name="_s5186">
            <a:extLst>
              <a:ext uri="{FF2B5EF4-FFF2-40B4-BE49-F238E27FC236}">
                <a16:creationId xmlns:a16="http://schemas.microsoft.com/office/drawing/2014/main" id="{00000000-0008-0000-0E00-000017000000}"/>
              </a:ext>
            </a:extLst>
          </xdr:cNvPr>
          <xdr:cNvSpPr>
            <a:spLocks noChangeShapeType="1"/>
          </xdr:cNvSpPr>
        </xdr:nvSpPr>
        <xdr:spPr>
          <a:xfrm flipV="1">
            <a:off x="3829" y="4099"/>
            <a:ext cx="353" cy="549"/>
          </a:xfrm>
          <a:prstGeom prst="bentConnector2">
            <a:avLst/>
          </a:prstGeom>
          <a:noFill/>
          <a:ln w="28575">
            <a:solidFill>
              <a:srgbClr val="000000"/>
            </a:solidFill>
            <a:miter lim="800000"/>
          </a:ln>
        </xdr:spPr>
        <xdr:txBody>
          <a:bodyPr vert="horz" wrap="square" lIns="91440" tIns="45720" rIns="91440" bIns="45720" numCol="1" anchor="t"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_tradnl"/>
          </a:p>
        </xdr:txBody>
      </xdr:sp>
      <xdr:sp macro="" textlink="">
        <xdr:nvSpPr>
          <xdr:cNvPr id="24" name="_s5184">
            <a:extLst>
              <a:ext uri="{FF2B5EF4-FFF2-40B4-BE49-F238E27FC236}">
                <a16:creationId xmlns:a16="http://schemas.microsoft.com/office/drawing/2014/main" id="{00000000-0008-0000-0E00-000018000000}"/>
              </a:ext>
            </a:extLst>
          </xdr:cNvPr>
          <xdr:cNvSpPr>
            <a:spLocks noChangeShapeType="1"/>
          </xdr:cNvSpPr>
        </xdr:nvSpPr>
        <xdr:spPr>
          <a:xfrm flipV="1">
            <a:off x="3829" y="4099"/>
            <a:ext cx="353" cy="220"/>
          </a:xfrm>
          <a:prstGeom prst="bentConnector2">
            <a:avLst/>
          </a:prstGeom>
          <a:noFill/>
          <a:ln w="28575">
            <a:solidFill>
              <a:srgbClr val="000000"/>
            </a:solidFill>
            <a:miter lim="800000"/>
          </a:ln>
        </xdr:spPr>
        <xdr:txBody>
          <a:bodyPr vert="horz" wrap="square" lIns="91440" tIns="45720" rIns="91440" bIns="45720" numCol="1" anchor="t"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_tradnl"/>
          </a:p>
        </xdr:txBody>
      </xdr:sp>
      <xdr:sp macro="" textlink="">
        <xdr:nvSpPr>
          <xdr:cNvPr id="25" name="_s5164">
            <a:extLst>
              <a:ext uri="{FF2B5EF4-FFF2-40B4-BE49-F238E27FC236}">
                <a16:creationId xmlns:a16="http://schemas.microsoft.com/office/drawing/2014/main" id="{00000000-0008-0000-0E00-000019000000}"/>
              </a:ext>
            </a:extLst>
          </xdr:cNvPr>
          <xdr:cNvSpPr>
            <a:spLocks noChangeArrowheads="1"/>
          </xdr:cNvSpPr>
        </xdr:nvSpPr>
        <xdr:spPr>
          <a:xfrm>
            <a:off x="6584" y="2506"/>
            <a:ext cx="2121" cy="220"/>
          </a:xfrm>
          <a:prstGeom prst="roundRect">
            <a:avLst>
              <a:gd name="adj" fmla="val 16667"/>
            </a:avLst>
          </a:prstGeom>
          <a:solidFill>
            <a:srgbClr val="00E4A8"/>
          </a:solidFill>
          <a:ln w="9525">
            <a:solidFill>
              <a:srgbClr val="000000"/>
            </a:solidFill>
            <a:round/>
          </a:ln>
        </xdr:spPr>
        <xdr:txBody>
          <a:bodyPr vert="horz" wrap="square" lIns="0" tIns="0" rIns="0" bIns="0" numCol="1" anchor="ctr"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pPr>
            <a:r>
              <a:rPr kumimoji="0" lang="es-ES" sz="900" b="0" i="0" u="none" strike="noStrike" cap="none" normalizeH="0" baseline="0">
                <a:ln>
                  <a:noFill/>
                </a:ln>
                <a:solidFill>
                  <a:srgbClr val="000000"/>
                </a:solidFill>
                <a:effectLst/>
                <a:latin typeface="Arial" pitchFamily="34" charset="0"/>
                <a:ea typeface="Calibri" pitchFamily="34" charset="0"/>
                <a:cs typeface="Arial" pitchFamily="34" charset="0"/>
              </a:rPr>
              <a:t>SECONAP</a:t>
            </a:r>
            <a:endParaRPr kumimoji="0" lang="es-ES" sz="1800" b="0" i="0" u="none" strike="noStrike" cap="none" normalizeH="0" baseline="0">
              <a:ln>
                <a:noFill/>
              </a:ln>
              <a:solidFill>
                <a:schemeClr val="tx1"/>
              </a:solidFill>
              <a:effectLst/>
              <a:latin typeface="Arial" pitchFamily="34" charset="0"/>
            </a:endParaRPr>
          </a:p>
        </xdr:txBody>
      </xdr:sp>
      <xdr:sp macro="" textlink="">
        <xdr:nvSpPr>
          <xdr:cNvPr id="26" name="_s5173">
            <a:extLst>
              <a:ext uri="{FF2B5EF4-FFF2-40B4-BE49-F238E27FC236}">
                <a16:creationId xmlns:a16="http://schemas.microsoft.com/office/drawing/2014/main" id="{00000000-0008-0000-0E00-00001A000000}"/>
              </a:ext>
            </a:extLst>
          </xdr:cNvPr>
          <xdr:cNvSpPr>
            <a:spLocks noChangeArrowheads="1"/>
          </xdr:cNvSpPr>
        </xdr:nvSpPr>
        <xdr:spPr>
          <a:xfrm>
            <a:off x="3122" y="3880"/>
            <a:ext cx="2120" cy="219"/>
          </a:xfrm>
          <a:prstGeom prst="roundRect">
            <a:avLst>
              <a:gd name="adj" fmla="val 16667"/>
            </a:avLst>
          </a:prstGeom>
          <a:solidFill>
            <a:srgbClr val="00E4A8"/>
          </a:solidFill>
          <a:ln w="9525">
            <a:solidFill>
              <a:srgbClr val="000000"/>
            </a:solidFill>
            <a:round/>
          </a:ln>
        </xdr:spPr>
        <xdr:txBody>
          <a:bodyPr vert="horz" wrap="square" lIns="0" tIns="0" rIns="0" bIns="0" numCol="1" anchor="ctr"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pPr>
            <a:r>
              <a:rPr kumimoji="0" lang="es-GT" sz="900" b="0" i="0" u="none" strike="noStrike" cap="none" normalizeH="0" baseline="0">
                <a:ln>
                  <a:noFill/>
                </a:ln>
                <a:solidFill>
                  <a:srgbClr val="000000"/>
                </a:solidFill>
                <a:effectLst/>
                <a:latin typeface="Arial" pitchFamily="34" charset="0"/>
                <a:ea typeface="Calibri" pitchFamily="34" charset="0"/>
                <a:cs typeface="Arial" pitchFamily="34" charset="0"/>
              </a:rPr>
              <a:t>Mesa Petén</a:t>
            </a:r>
            <a:endParaRPr kumimoji="0" lang="es-GT" sz="1800" b="0" i="0" u="none" strike="noStrike" cap="none" normalizeH="0" baseline="0">
              <a:ln>
                <a:noFill/>
              </a:ln>
              <a:solidFill>
                <a:schemeClr val="tx1"/>
              </a:solidFill>
              <a:effectLst/>
              <a:latin typeface="Arial" pitchFamily="34" charset="0"/>
            </a:endParaRPr>
          </a:p>
        </xdr:txBody>
      </xdr:sp>
      <xdr:sp macro="" textlink="">
        <xdr:nvSpPr>
          <xdr:cNvPr id="27" name="_s5175">
            <a:extLst>
              <a:ext uri="{FF2B5EF4-FFF2-40B4-BE49-F238E27FC236}">
                <a16:creationId xmlns:a16="http://schemas.microsoft.com/office/drawing/2014/main" id="{00000000-0008-0000-0E00-00001B000000}"/>
              </a:ext>
            </a:extLst>
          </xdr:cNvPr>
          <xdr:cNvSpPr>
            <a:spLocks noChangeArrowheads="1"/>
          </xdr:cNvSpPr>
        </xdr:nvSpPr>
        <xdr:spPr>
          <a:xfrm>
            <a:off x="3122" y="5046"/>
            <a:ext cx="2120" cy="221"/>
          </a:xfrm>
          <a:prstGeom prst="roundRect">
            <a:avLst>
              <a:gd name="adj" fmla="val 16667"/>
            </a:avLst>
          </a:prstGeom>
          <a:solidFill>
            <a:srgbClr val="00E4A8"/>
          </a:solidFill>
          <a:ln w="9525">
            <a:solidFill>
              <a:srgbClr val="000000"/>
            </a:solidFill>
            <a:round/>
          </a:ln>
        </xdr:spPr>
        <xdr:txBody>
          <a:bodyPr vert="horz" wrap="square" lIns="0" tIns="0" rIns="0" bIns="0" numCol="1" anchor="ctr"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pPr>
            <a:r>
              <a:rPr kumimoji="0" lang="es-GT" sz="900" b="0" i="0" u="none" strike="noStrike" cap="none" normalizeH="0" baseline="0">
                <a:ln>
                  <a:noFill/>
                </a:ln>
                <a:solidFill>
                  <a:srgbClr val="000000"/>
                </a:solidFill>
                <a:effectLst/>
                <a:latin typeface="Arial" pitchFamily="34" charset="0"/>
                <a:ea typeface="Calibri" pitchFamily="34" charset="0"/>
                <a:cs typeface="Arial" pitchFamily="34" charset="0"/>
              </a:rPr>
              <a:t>Mesa Nor-Oriente</a:t>
            </a:r>
            <a:endParaRPr kumimoji="0" lang="es-GT" sz="1800" b="0" i="0" u="none" strike="noStrike" cap="none" normalizeH="0" baseline="0">
              <a:ln>
                <a:noFill/>
              </a:ln>
              <a:solidFill>
                <a:schemeClr val="tx1"/>
              </a:solidFill>
              <a:effectLst/>
              <a:latin typeface="Arial" pitchFamily="34" charset="0"/>
            </a:endParaRPr>
          </a:p>
        </xdr:txBody>
      </xdr:sp>
      <xdr:sp macro="" textlink="">
        <xdr:nvSpPr>
          <xdr:cNvPr id="28" name="_s5177">
            <a:extLst>
              <a:ext uri="{FF2B5EF4-FFF2-40B4-BE49-F238E27FC236}">
                <a16:creationId xmlns:a16="http://schemas.microsoft.com/office/drawing/2014/main" id="{00000000-0008-0000-0E00-00001C000000}"/>
              </a:ext>
            </a:extLst>
          </xdr:cNvPr>
          <xdr:cNvSpPr>
            <a:spLocks noChangeArrowheads="1"/>
          </xdr:cNvSpPr>
        </xdr:nvSpPr>
        <xdr:spPr>
          <a:xfrm>
            <a:off x="3122" y="5855"/>
            <a:ext cx="2120" cy="219"/>
          </a:xfrm>
          <a:prstGeom prst="roundRect">
            <a:avLst>
              <a:gd name="adj" fmla="val 16667"/>
            </a:avLst>
          </a:prstGeom>
          <a:solidFill>
            <a:srgbClr val="00E4A8"/>
          </a:solidFill>
          <a:ln w="9525">
            <a:solidFill>
              <a:srgbClr val="000000"/>
            </a:solidFill>
            <a:round/>
          </a:ln>
        </xdr:spPr>
        <xdr:txBody>
          <a:bodyPr vert="horz" wrap="square" lIns="0" tIns="0" rIns="0" bIns="0" numCol="1" anchor="ctr"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pPr>
            <a:r>
              <a:rPr kumimoji="0" lang="es-GT" sz="900" b="0" i="0" u="none" strike="noStrike" cap="none" normalizeH="0" baseline="0">
                <a:ln>
                  <a:noFill/>
                </a:ln>
                <a:solidFill>
                  <a:srgbClr val="000000"/>
                </a:solidFill>
                <a:effectLst/>
                <a:latin typeface="Arial" pitchFamily="34" charset="0"/>
                <a:ea typeface="Calibri" pitchFamily="34" charset="0"/>
                <a:cs typeface="Arial" pitchFamily="34" charset="0"/>
              </a:rPr>
              <a:t>Mesa  Oriente</a:t>
            </a:r>
            <a:endParaRPr kumimoji="0" lang="es-GT" sz="1800" b="0" i="0" u="none" strike="noStrike" cap="none" normalizeH="0" baseline="0">
              <a:ln>
                <a:noFill/>
              </a:ln>
              <a:solidFill>
                <a:schemeClr val="tx1"/>
              </a:solidFill>
              <a:effectLst/>
              <a:latin typeface="Arial" pitchFamily="34" charset="0"/>
            </a:endParaRPr>
          </a:p>
        </xdr:txBody>
      </xdr:sp>
      <xdr:sp macro="" textlink="">
        <xdr:nvSpPr>
          <xdr:cNvPr id="29" name="_s5179">
            <a:extLst>
              <a:ext uri="{FF2B5EF4-FFF2-40B4-BE49-F238E27FC236}">
                <a16:creationId xmlns:a16="http://schemas.microsoft.com/office/drawing/2014/main" id="{00000000-0008-0000-0E00-00001D000000}"/>
              </a:ext>
            </a:extLst>
          </xdr:cNvPr>
          <xdr:cNvSpPr>
            <a:spLocks noChangeArrowheads="1"/>
          </xdr:cNvSpPr>
        </xdr:nvSpPr>
        <xdr:spPr>
          <a:xfrm>
            <a:off x="3109" y="7608"/>
            <a:ext cx="2120" cy="221"/>
          </a:xfrm>
          <a:prstGeom prst="roundRect">
            <a:avLst>
              <a:gd name="adj" fmla="val 16667"/>
            </a:avLst>
          </a:prstGeom>
          <a:solidFill>
            <a:srgbClr val="00E4A8"/>
          </a:solidFill>
          <a:ln w="9525">
            <a:solidFill>
              <a:srgbClr val="000000"/>
            </a:solidFill>
            <a:round/>
          </a:ln>
        </xdr:spPr>
        <xdr:txBody>
          <a:bodyPr vert="horz" wrap="square" lIns="0" tIns="0" rIns="0" bIns="0" numCol="1" anchor="ctr"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pPr>
            <a:r>
              <a:rPr kumimoji="0" lang="es-GT" sz="900" b="0" i="0" u="none" strike="noStrike" cap="none" normalizeH="0" baseline="0">
                <a:ln>
                  <a:noFill/>
                </a:ln>
                <a:solidFill>
                  <a:srgbClr val="000000"/>
                </a:solidFill>
                <a:effectLst/>
                <a:latin typeface="Arial" pitchFamily="34" charset="0"/>
                <a:ea typeface="Calibri" pitchFamily="34" charset="0"/>
                <a:cs typeface="Arial" pitchFamily="34" charset="0"/>
              </a:rPr>
              <a:t>Mesa Verapaces</a:t>
            </a:r>
            <a:endParaRPr kumimoji="0" lang="es-GT" sz="1800" b="0" i="0" u="none" strike="noStrike" cap="none" normalizeH="0" baseline="0">
              <a:ln>
                <a:noFill/>
              </a:ln>
              <a:solidFill>
                <a:schemeClr val="tx1"/>
              </a:solidFill>
              <a:effectLst/>
              <a:latin typeface="Arial" pitchFamily="34" charset="0"/>
            </a:endParaRPr>
          </a:p>
        </xdr:txBody>
      </xdr:sp>
      <xdr:sp macro="" textlink="">
        <xdr:nvSpPr>
          <xdr:cNvPr id="30" name="_s5181">
            <a:extLst>
              <a:ext uri="{FF2B5EF4-FFF2-40B4-BE49-F238E27FC236}">
                <a16:creationId xmlns:a16="http://schemas.microsoft.com/office/drawing/2014/main" id="{00000000-0008-0000-0E00-00001E000000}"/>
              </a:ext>
            </a:extLst>
          </xdr:cNvPr>
          <xdr:cNvSpPr>
            <a:spLocks noChangeArrowheads="1"/>
          </xdr:cNvSpPr>
        </xdr:nvSpPr>
        <xdr:spPr>
          <a:xfrm>
            <a:off x="3056" y="9759"/>
            <a:ext cx="2120" cy="218"/>
          </a:xfrm>
          <a:prstGeom prst="roundRect">
            <a:avLst>
              <a:gd name="adj" fmla="val 16667"/>
            </a:avLst>
          </a:prstGeom>
          <a:solidFill>
            <a:srgbClr val="00E4A8"/>
          </a:solidFill>
          <a:ln w="9525">
            <a:solidFill>
              <a:srgbClr val="000000"/>
            </a:solidFill>
            <a:round/>
          </a:ln>
        </xdr:spPr>
        <xdr:txBody>
          <a:bodyPr vert="horz" wrap="square" lIns="0" tIns="0" rIns="0" bIns="0" numCol="1" anchor="ctr"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pPr>
            <a:r>
              <a:rPr kumimoji="0" lang="es-GT" sz="900" b="0" i="0" u="none" strike="noStrike" cap="none" normalizeH="0" baseline="0">
                <a:ln>
                  <a:noFill/>
                </a:ln>
                <a:solidFill>
                  <a:srgbClr val="000000"/>
                </a:solidFill>
                <a:effectLst/>
                <a:latin typeface="Arial" pitchFamily="34" charset="0"/>
                <a:ea typeface="Calibri" pitchFamily="34" charset="0"/>
                <a:cs typeface="Arial" pitchFamily="34" charset="0"/>
              </a:rPr>
              <a:t>Mesa Altiplano Occidental</a:t>
            </a:r>
            <a:endParaRPr kumimoji="0" lang="es-GT" sz="1800" b="0" i="0" u="none" strike="noStrike" cap="none" normalizeH="0" baseline="0">
              <a:ln>
                <a:noFill/>
              </a:ln>
              <a:solidFill>
                <a:schemeClr val="tx1"/>
              </a:solidFill>
              <a:effectLst/>
              <a:latin typeface="Arial" pitchFamily="34" charset="0"/>
            </a:endParaRPr>
          </a:p>
        </xdr:txBody>
      </xdr:sp>
      <xdr:sp macro="" textlink="">
        <xdr:nvSpPr>
          <xdr:cNvPr id="31" name="_s5183">
            <a:extLst>
              <a:ext uri="{FF2B5EF4-FFF2-40B4-BE49-F238E27FC236}">
                <a16:creationId xmlns:a16="http://schemas.microsoft.com/office/drawing/2014/main" id="{00000000-0008-0000-0E00-00001F000000}"/>
              </a:ext>
            </a:extLst>
          </xdr:cNvPr>
          <xdr:cNvSpPr>
            <a:spLocks noChangeArrowheads="1"/>
          </xdr:cNvSpPr>
        </xdr:nvSpPr>
        <xdr:spPr>
          <a:xfrm>
            <a:off x="1709" y="4209"/>
            <a:ext cx="2120" cy="220"/>
          </a:xfrm>
          <a:prstGeom prst="roundRect">
            <a:avLst>
              <a:gd name="adj" fmla="val 16667"/>
            </a:avLst>
          </a:prstGeom>
          <a:solidFill>
            <a:schemeClr val="accent5">
              <a:lumMod val="20000"/>
              <a:lumOff val="80000"/>
            </a:schemeClr>
          </a:solidFill>
          <a:ln w="9525">
            <a:solidFill>
              <a:srgbClr val="000000"/>
            </a:solidFill>
            <a:round/>
          </a:ln>
        </xdr:spPr>
        <xdr:txBody>
          <a:bodyPr vert="horz" wrap="square" lIns="0" tIns="0" rIns="0" bIns="0" numCol="1" anchor="ctr"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pPr>
            <a:endParaRPr kumimoji="0" lang="es-GT" sz="1800" b="0" i="0" u="none" strike="noStrike" cap="none" normalizeH="0" baseline="0">
              <a:ln>
                <a:noFill/>
              </a:ln>
              <a:solidFill>
                <a:schemeClr val="tx1"/>
              </a:solidFill>
              <a:effectLst/>
              <a:latin typeface="Arial" pitchFamily="34" charset="0"/>
            </a:endParaRPr>
          </a:p>
        </xdr:txBody>
      </xdr:sp>
      <xdr:sp macro="" textlink="">
        <xdr:nvSpPr>
          <xdr:cNvPr id="32" name="_s5185">
            <a:extLst>
              <a:ext uri="{FF2B5EF4-FFF2-40B4-BE49-F238E27FC236}">
                <a16:creationId xmlns:a16="http://schemas.microsoft.com/office/drawing/2014/main" id="{00000000-0008-0000-0E00-000020000000}"/>
              </a:ext>
            </a:extLst>
          </xdr:cNvPr>
          <xdr:cNvSpPr>
            <a:spLocks noChangeArrowheads="1"/>
          </xdr:cNvSpPr>
        </xdr:nvSpPr>
        <xdr:spPr>
          <a:xfrm>
            <a:off x="1712" y="4539"/>
            <a:ext cx="2117" cy="218"/>
          </a:xfrm>
          <a:prstGeom prst="roundRect">
            <a:avLst>
              <a:gd name="adj" fmla="val 16667"/>
            </a:avLst>
          </a:prstGeom>
          <a:solidFill>
            <a:schemeClr val="accent5">
              <a:lumMod val="20000"/>
              <a:lumOff val="80000"/>
            </a:schemeClr>
          </a:solidFill>
          <a:ln w="9525">
            <a:solidFill>
              <a:srgbClr val="000000"/>
            </a:solidFill>
            <a:round/>
          </a:ln>
        </xdr:spPr>
        <xdr:txBody>
          <a:bodyPr vert="horz" wrap="square" lIns="0" tIns="0" rIns="0" bIns="0" numCol="1" anchor="ctr"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pPr>
            <a:endParaRPr kumimoji="0" lang="es-GT" sz="1800" b="0" i="0" u="none" strike="noStrike" cap="none" normalizeH="0" baseline="0">
              <a:ln>
                <a:noFill/>
              </a:ln>
              <a:solidFill>
                <a:schemeClr val="tx1"/>
              </a:solidFill>
              <a:effectLst/>
              <a:latin typeface="Arial" pitchFamily="34" charset="0"/>
            </a:endParaRPr>
          </a:p>
        </xdr:txBody>
      </xdr:sp>
      <xdr:sp macro="" textlink="">
        <xdr:nvSpPr>
          <xdr:cNvPr id="38" name="_s5205">
            <a:extLst>
              <a:ext uri="{FF2B5EF4-FFF2-40B4-BE49-F238E27FC236}">
                <a16:creationId xmlns:a16="http://schemas.microsoft.com/office/drawing/2014/main" id="{00000000-0008-0000-0E00-000026000000}"/>
              </a:ext>
            </a:extLst>
          </xdr:cNvPr>
          <xdr:cNvSpPr>
            <a:spLocks noChangeArrowheads="1"/>
          </xdr:cNvSpPr>
        </xdr:nvSpPr>
        <xdr:spPr>
          <a:xfrm>
            <a:off x="4525" y="2987"/>
            <a:ext cx="2117" cy="220"/>
          </a:xfrm>
          <a:prstGeom prst="roundRect">
            <a:avLst>
              <a:gd name="adj" fmla="val 16667"/>
            </a:avLst>
          </a:prstGeom>
          <a:solidFill>
            <a:srgbClr val="00E4A8"/>
          </a:solidFill>
          <a:ln w="9525">
            <a:solidFill>
              <a:srgbClr val="000000"/>
            </a:solidFill>
            <a:round/>
          </a:ln>
        </xdr:spPr>
        <xdr:txBody>
          <a:bodyPr vert="horz" wrap="square" lIns="0" tIns="0" rIns="0" bIns="0" numCol="1" anchor="ctr"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pPr>
            <a:r>
              <a:rPr kumimoji="0" lang="es-GT" sz="900" b="0" i="0" u="none" strike="noStrike" cap="none" normalizeH="0" baseline="0">
                <a:ln>
                  <a:noFill/>
                </a:ln>
                <a:solidFill>
                  <a:srgbClr val="000000"/>
                </a:solidFill>
                <a:effectLst/>
                <a:latin typeface="Arial" pitchFamily="34" charset="0"/>
                <a:ea typeface="Calibri" pitchFamily="34" charset="0"/>
                <a:cs typeface="Arial" pitchFamily="34" charset="0"/>
              </a:rPr>
              <a:t>Mesa Nacional</a:t>
            </a:r>
            <a:endParaRPr kumimoji="0" lang="es-GT" sz="1800" b="0" i="0" u="none" strike="noStrike" cap="none" normalizeH="0" baseline="0">
              <a:ln>
                <a:noFill/>
              </a:ln>
              <a:solidFill>
                <a:schemeClr val="tx1"/>
              </a:solidFill>
              <a:effectLst/>
              <a:latin typeface="Arial" pitchFamily="34" charset="0"/>
            </a:endParaRPr>
          </a:p>
        </xdr:txBody>
      </xdr:sp>
      <xdr:sp macro="" textlink="">
        <xdr:nvSpPr>
          <xdr:cNvPr id="42" name="_s5221">
            <a:extLst>
              <a:ext uri="{FF2B5EF4-FFF2-40B4-BE49-F238E27FC236}">
                <a16:creationId xmlns:a16="http://schemas.microsoft.com/office/drawing/2014/main" id="{00000000-0008-0000-0E00-00002A000000}"/>
              </a:ext>
            </a:extLst>
          </xdr:cNvPr>
          <xdr:cNvSpPr>
            <a:spLocks noChangeArrowheads="1"/>
          </xdr:cNvSpPr>
        </xdr:nvSpPr>
        <xdr:spPr>
          <a:xfrm>
            <a:off x="1803" y="8268"/>
            <a:ext cx="2120" cy="217"/>
          </a:xfrm>
          <a:prstGeom prst="roundRect">
            <a:avLst>
              <a:gd name="adj" fmla="val 16667"/>
            </a:avLst>
          </a:prstGeom>
          <a:solidFill>
            <a:srgbClr val="3366FF"/>
          </a:solidFill>
          <a:ln w="9525">
            <a:solidFill>
              <a:srgbClr val="000000"/>
            </a:solidFill>
            <a:round/>
          </a:ln>
        </xdr:spPr>
        <xdr:txBody>
          <a:bodyPr vert="horz" wrap="square" lIns="0" tIns="0" rIns="0" bIns="0" numCol="1" anchor="ctr"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pPr>
            <a:endParaRPr kumimoji="0" lang="es-GT" sz="1800" b="0" i="0" u="none" strike="noStrike" cap="none" normalizeH="0" baseline="0">
              <a:ln>
                <a:noFill/>
              </a:ln>
              <a:solidFill>
                <a:schemeClr val="tx1"/>
              </a:solidFill>
              <a:effectLst/>
              <a:latin typeface="Arial" pitchFamily="34" charset="0"/>
            </a:endParaRPr>
          </a:p>
        </xdr:txBody>
      </xdr:sp>
      <xdr:sp macro="" textlink="">
        <xdr:nvSpPr>
          <xdr:cNvPr id="46" name="_s5181">
            <a:extLst>
              <a:ext uri="{FF2B5EF4-FFF2-40B4-BE49-F238E27FC236}">
                <a16:creationId xmlns:a16="http://schemas.microsoft.com/office/drawing/2014/main" id="{00000000-0008-0000-0E00-00002E000000}"/>
              </a:ext>
            </a:extLst>
          </xdr:cNvPr>
          <xdr:cNvSpPr>
            <a:spLocks noChangeArrowheads="1"/>
          </xdr:cNvSpPr>
        </xdr:nvSpPr>
        <xdr:spPr>
          <a:xfrm>
            <a:off x="3122" y="9086"/>
            <a:ext cx="2120" cy="218"/>
          </a:xfrm>
          <a:prstGeom prst="roundRect">
            <a:avLst>
              <a:gd name="adj" fmla="val 16667"/>
            </a:avLst>
          </a:prstGeom>
          <a:solidFill>
            <a:srgbClr val="00E4A8"/>
          </a:solidFill>
          <a:ln w="9525">
            <a:solidFill>
              <a:srgbClr val="000000"/>
            </a:solidFill>
            <a:round/>
          </a:ln>
        </xdr:spPr>
        <xdr:txBody>
          <a:bodyPr vert="horz" wrap="square" lIns="0" tIns="0" rIns="0" bIns="0" numCol="1" anchor="ctr"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pPr>
            <a:r>
              <a:rPr kumimoji="0" lang="es-GT" sz="900" b="0" i="0" u="none" strike="noStrike" cap="none" normalizeH="0" baseline="0">
                <a:ln>
                  <a:noFill/>
                </a:ln>
                <a:solidFill>
                  <a:srgbClr val="000000"/>
                </a:solidFill>
                <a:effectLst/>
                <a:latin typeface="Arial" pitchFamily="34" charset="0"/>
                <a:ea typeface="Calibri" pitchFamily="34" charset="0"/>
                <a:cs typeface="Arial" pitchFamily="34" charset="0"/>
              </a:rPr>
              <a:t>Mesa Altiplano Central</a:t>
            </a:r>
            <a:endParaRPr kumimoji="0" lang="es-GT" sz="1800" b="0" i="0" u="none" strike="noStrike" cap="none" normalizeH="0" baseline="0">
              <a:ln>
                <a:noFill/>
              </a:ln>
              <a:solidFill>
                <a:schemeClr val="tx1"/>
              </a:solidFill>
              <a:effectLst/>
              <a:latin typeface="Arial" pitchFamily="34" charset="0"/>
            </a:endParaRPr>
          </a:p>
        </xdr:txBody>
      </xdr:sp>
      <xdr:sp macro="" textlink="">
        <xdr:nvSpPr>
          <xdr:cNvPr id="47" name="_s5181">
            <a:extLst>
              <a:ext uri="{FF2B5EF4-FFF2-40B4-BE49-F238E27FC236}">
                <a16:creationId xmlns:a16="http://schemas.microsoft.com/office/drawing/2014/main" id="{00000000-0008-0000-0E00-00002F000000}"/>
              </a:ext>
            </a:extLst>
          </xdr:cNvPr>
          <xdr:cNvSpPr>
            <a:spLocks noChangeArrowheads="1"/>
          </xdr:cNvSpPr>
        </xdr:nvSpPr>
        <xdr:spPr>
          <a:xfrm>
            <a:off x="3061" y="10433"/>
            <a:ext cx="2120" cy="218"/>
          </a:xfrm>
          <a:prstGeom prst="roundRect">
            <a:avLst>
              <a:gd name="adj" fmla="val 16667"/>
            </a:avLst>
          </a:prstGeom>
          <a:solidFill>
            <a:srgbClr val="00E4A8"/>
          </a:solidFill>
          <a:ln w="9525">
            <a:solidFill>
              <a:srgbClr val="000000"/>
            </a:solidFill>
            <a:round/>
          </a:ln>
        </xdr:spPr>
        <xdr:txBody>
          <a:bodyPr vert="horz" wrap="square" lIns="0" tIns="0" rIns="0" bIns="0" numCol="1" anchor="ctr"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pPr>
            <a:r>
              <a:rPr kumimoji="0" lang="es-GT" sz="900" b="0" i="0" u="none" strike="noStrike" cap="none" normalizeH="0" baseline="0">
                <a:ln>
                  <a:noFill/>
                </a:ln>
                <a:solidFill>
                  <a:srgbClr val="000000"/>
                </a:solidFill>
                <a:effectLst/>
                <a:latin typeface="Arial" pitchFamily="34" charset="0"/>
                <a:ea typeface="Calibri" pitchFamily="34" charset="0"/>
                <a:cs typeface="Arial" pitchFamily="34" charset="0"/>
              </a:rPr>
              <a:t>Mesa Nor-Occidental</a:t>
            </a:r>
            <a:endParaRPr kumimoji="0" lang="es-GT" sz="1800" b="0" i="0" u="none" strike="noStrike" cap="none" normalizeH="0" baseline="0">
              <a:ln>
                <a:noFill/>
              </a:ln>
              <a:solidFill>
                <a:schemeClr val="tx1"/>
              </a:solidFill>
              <a:effectLst/>
              <a:latin typeface="Arial" pitchFamily="34" charset="0"/>
            </a:endParaRPr>
          </a:p>
        </xdr:txBody>
      </xdr:sp>
      <xdr:sp macro="" textlink="">
        <xdr:nvSpPr>
          <xdr:cNvPr id="51" name="_s5211">
            <a:extLst>
              <a:ext uri="{FF2B5EF4-FFF2-40B4-BE49-F238E27FC236}">
                <a16:creationId xmlns:a16="http://schemas.microsoft.com/office/drawing/2014/main" id="{00000000-0008-0000-0E00-000033000000}"/>
              </a:ext>
            </a:extLst>
          </xdr:cNvPr>
          <xdr:cNvSpPr>
            <a:spLocks noChangeShapeType="1"/>
          </xdr:cNvSpPr>
        </xdr:nvSpPr>
        <xdr:spPr>
          <a:xfrm flipV="1">
            <a:off x="5194" y="9262"/>
            <a:ext cx="390" cy="1266"/>
          </a:xfrm>
          <a:prstGeom prst="bentConnector2">
            <a:avLst/>
          </a:prstGeom>
          <a:noFill/>
          <a:ln w="28575">
            <a:solidFill>
              <a:srgbClr val="000000"/>
            </a:solidFill>
            <a:miter lim="800000"/>
          </a:ln>
        </xdr:spPr>
        <xdr:txBody>
          <a:bodyPr vert="horz" wrap="square" lIns="91440" tIns="45720" rIns="91440" bIns="45720" numCol="1" anchor="t"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_tradnl"/>
          </a:p>
        </xdr:txBody>
      </xdr:sp>
    </xdr:grpSp>
    <xdr:clientData/>
  </xdr:twoCellAnchor>
  <xdr:twoCellAnchor>
    <xdr:from>
      <xdr:col>3</xdr:col>
      <xdr:colOff>600075</xdr:colOff>
      <xdr:row>17</xdr:row>
      <xdr:rowOff>114300</xdr:rowOff>
    </xdr:from>
    <xdr:to>
      <xdr:col>5</xdr:col>
      <xdr:colOff>600075</xdr:colOff>
      <xdr:row>18</xdr:row>
      <xdr:rowOff>75747</xdr:rowOff>
    </xdr:to>
    <xdr:sp macro="" textlink="">
      <xdr:nvSpPr>
        <xdr:cNvPr id="55" name="_s5177">
          <a:extLst>
            <a:ext uri="{FF2B5EF4-FFF2-40B4-BE49-F238E27FC236}">
              <a16:creationId xmlns:a16="http://schemas.microsoft.com/office/drawing/2014/main" id="{00000000-0008-0000-0E00-000037000000}"/>
            </a:ext>
          </a:extLst>
        </xdr:cNvPr>
        <xdr:cNvSpPr>
          <a:spLocks noChangeArrowheads="1"/>
        </xdr:cNvSpPr>
      </xdr:nvSpPr>
      <xdr:spPr>
        <a:xfrm>
          <a:off x="2400300" y="3352800"/>
          <a:ext cx="1200150" cy="151765"/>
        </a:xfrm>
        <a:prstGeom prst="roundRect">
          <a:avLst>
            <a:gd name="adj" fmla="val 16667"/>
          </a:avLst>
        </a:prstGeom>
        <a:solidFill>
          <a:srgbClr val="00E4A8"/>
        </a:solidFill>
        <a:ln w="9525">
          <a:solidFill>
            <a:srgbClr val="000000"/>
          </a:solidFill>
          <a:round/>
        </a:ln>
      </xdr:spPr>
      <xdr:txBody>
        <a:bodyPr vert="horz" wrap="square" lIns="0" tIns="0" rIns="0" bIns="0" numCol="1" anchor="ctr"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pPr>
          <a:r>
            <a:rPr kumimoji="0" lang="es-GT" sz="900" b="0" i="0" u="none" strike="noStrike" cap="none" normalizeH="0" baseline="0">
              <a:ln>
                <a:noFill/>
              </a:ln>
              <a:solidFill>
                <a:srgbClr val="000000"/>
              </a:solidFill>
              <a:effectLst/>
              <a:latin typeface="Arial" pitchFamily="34" charset="0"/>
              <a:ea typeface="Calibri" pitchFamily="34" charset="0"/>
              <a:cs typeface="Arial" pitchFamily="34" charset="0"/>
            </a:rPr>
            <a:t>Mesa Sur  Oriente</a:t>
          </a:r>
          <a:endParaRPr kumimoji="0" lang="es-GT" sz="1800" b="0" i="0" u="none" strike="noStrike" cap="none" normalizeH="0" baseline="0">
            <a:ln>
              <a:noFill/>
            </a:ln>
            <a:solidFill>
              <a:schemeClr val="tx1"/>
            </a:solidFill>
            <a:effectLst/>
            <a:latin typeface="Arial" pitchFamily="34" charset="0"/>
          </a:endParaRPr>
        </a:p>
      </xdr:txBody>
    </xdr:sp>
    <xdr:clientData/>
  </xdr:twoCellAnchor>
  <xdr:twoCellAnchor>
    <xdr:from>
      <xdr:col>5</xdr:col>
      <xdr:colOff>600075</xdr:colOff>
      <xdr:row>7</xdr:row>
      <xdr:rowOff>123824</xdr:rowOff>
    </xdr:from>
    <xdr:to>
      <xdr:col>6</xdr:col>
      <xdr:colOff>114300</xdr:colOff>
      <xdr:row>18</xdr:row>
      <xdr:rowOff>6821</xdr:rowOff>
    </xdr:to>
    <xdr:sp macro="" textlink="">
      <xdr:nvSpPr>
        <xdr:cNvPr id="57" name="_s5210">
          <a:extLst>
            <a:ext uri="{FF2B5EF4-FFF2-40B4-BE49-F238E27FC236}">
              <a16:creationId xmlns:a16="http://schemas.microsoft.com/office/drawing/2014/main" id="{00000000-0008-0000-0E00-000039000000}"/>
            </a:ext>
          </a:extLst>
        </xdr:cNvPr>
        <xdr:cNvSpPr>
          <a:spLocks noChangeShapeType="1"/>
        </xdr:cNvSpPr>
      </xdr:nvSpPr>
      <xdr:spPr>
        <a:xfrm flipV="1">
          <a:off x="3600450" y="1456690"/>
          <a:ext cx="114300" cy="1978660"/>
        </a:xfrm>
        <a:prstGeom prst="bentConnector2">
          <a:avLst/>
        </a:prstGeom>
        <a:noFill/>
        <a:ln w="28575">
          <a:solidFill>
            <a:srgbClr val="000000"/>
          </a:solidFill>
          <a:miter lim="800000"/>
        </a:ln>
      </xdr:spPr>
      <xdr:txBody>
        <a:bodyPr vert="horz" wrap="square" lIns="91440" tIns="45720" rIns="91440" bIns="45720" numCol="1" anchor="t"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_tradnl"/>
        </a:p>
      </xdr:txBody>
    </xdr:sp>
    <xdr:clientData/>
  </xdr:twoCellAnchor>
  <xdr:twoCellAnchor>
    <xdr:from>
      <xdr:col>5</xdr:col>
      <xdr:colOff>600075</xdr:colOff>
      <xdr:row>25</xdr:row>
      <xdr:rowOff>161924</xdr:rowOff>
    </xdr:from>
    <xdr:to>
      <xdr:col>6</xdr:col>
      <xdr:colOff>116510</xdr:colOff>
      <xdr:row>28</xdr:row>
      <xdr:rowOff>152399</xdr:rowOff>
    </xdr:to>
    <xdr:sp macro="" textlink="">
      <xdr:nvSpPr>
        <xdr:cNvPr id="64" name="_s5190">
          <a:extLst>
            <a:ext uri="{FF2B5EF4-FFF2-40B4-BE49-F238E27FC236}">
              <a16:creationId xmlns:a16="http://schemas.microsoft.com/office/drawing/2014/main" id="{00000000-0008-0000-0E00-000040000000}"/>
            </a:ext>
          </a:extLst>
        </xdr:cNvPr>
        <xdr:cNvSpPr>
          <a:spLocks noChangeShapeType="1"/>
        </xdr:cNvSpPr>
      </xdr:nvSpPr>
      <xdr:spPr>
        <a:xfrm flipV="1">
          <a:off x="3600450" y="4923790"/>
          <a:ext cx="116205" cy="561975"/>
        </a:xfrm>
        <a:prstGeom prst="bentConnector2">
          <a:avLst/>
        </a:prstGeom>
        <a:noFill/>
        <a:ln w="28575">
          <a:solidFill>
            <a:srgbClr val="000000"/>
          </a:solidFill>
          <a:miter lim="800000"/>
        </a:ln>
      </xdr:spPr>
      <xdr:txBody>
        <a:bodyPr vert="horz" wrap="square" lIns="91440" tIns="45720" rIns="91440" bIns="45720" numCol="1" anchor="t"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_tradnl"/>
        </a:p>
      </xdr:txBody>
    </xdr:sp>
    <xdr:clientData/>
  </xdr:twoCellAnchor>
  <xdr:twoCellAnchor>
    <xdr:from>
      <xdr:col>3</xdr:col>
      <xdr:colOff>600075</xdr:colOff>
      <xdr:row>33</xdr:row>
      <xdr:rowOff>114300</xdr:rowOff>
    </xdr:from>
    <xdr:to>
      <xdr:col>5</xdr:col>
      <xdr:colOff>595694</xdr:colOff>
      <xdr:row>34</xdr:row>
      <xdr:rowOff>74401</xdr:rowOff>
    </xdr:to>
    <xdr:sp macro="" textlink="">
      <xdr:nvSpPr>
        <xdr:cNvPr id="67" name="_s5181">
          <a:extLst>
            <a:ext uri="{FF2B5EF4-FFF2-40B4-BE49-F238E27FC236}">
              <a16:creationId xmlns:a16="http://schemas.microsoft.com/office/drawing/2014/main" id="{00000000-0008-0000-0E00-000043000000}"/>
            </a:ext>
          </a:extLst>
        </xdr:cNvPr>
        <xdr:cNvSpPr>
          <a:spLocks noChangeArrowheads="1"/>
        </xdr:cNvSpPr>
      </xdr:nvSpPr>
      <xdr:spPr>
        <a:xfrm>
          <a:off x="2400300" y="6400800"/>
          <a:ext cx="1195705" cy="150495"/>
        </a:xfrm>
        <a:prstGeom prst="roundRect">
          <a:avLst>
            <a:gd name="adj" fmla="val 16667"/>
          </a:avLst>
        </a:prstGeom>
        <a:solidFill>
          <a:srgbClr val="00E4A8"/>
        </a:solidFill>
        <a:ln w="9525">
          <a:solidFill>
            <a:srgbClr val="000000"/>
          </a:solidFill>
          <a:round/>
        </a:ln>
      </xdr:spPr>
      <xdr:txBody>
        <a:bodyPr vert="horz" wrap="square" lIns="0" tIns="0" rIns="0" bIns="0" numCol="1" anchor="ctr"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pPr>
          <a:r>
            <a:rPr kumimoji="0" lang="es-GT" sz="900" b="0" i="0" u="none" strike="noStrike" cap="none" normalizeH="0" baseline="0">
              <a:ln>
                <a:noFill/>
              </a:ln>
              <a:solidFill>
                <a:srgbClr val="000000"/>
              </a:solidFill>
              <a:effectLst/>
              <a:latin typeface="Arial" pitchFamily="34" charset="0"/>
              <a:ea typeface="Calibri" pitchFamily="34" charset="0"/>
              <a:cs typeface="Arial" pitchFamily="34" charset="0"/>
            </a:rPr>
            <a:t>Mesa  Costa Sur</a:t>
          </a:r>
          <a:endParaRPr kumimoji="0" lang="es-GT" sz="1800" b="0" i="0" u="none" strike="noStrike" cap="none" normalizeH="0" baseline="0">
            <a:ln>
              <a:noFill/>
            </a:ln>
            <a:solidFill>
              <a:schemeClr val="tx1"/>
            </a:solidFill>
            <a:effectLst/>
            <a:latin typeface="Arial" pitchFamily="34" charset="0"/>
          </a:endParaRPr>
        </a:p>
      </xdr:txBody>
    </xdr:sp>
    <xdr:clientData/>
  </xdr:twoCellAnchor>
  <xdr:twoCellAnchor>
    <xdr:from>
      <xdr:col>5</xdr:col>
      <xdr:colOff>600075</xdr:colOff>
      <xdr:row>29</xdr:row>
      <xdr:rowOff>76200</xdr:rowOff>
    </xdr:from>
    <xdr:to>
      <xdr:col>6</xdr:col>
      <xdr:colOff>114123</xdr:colOff>
      <xdr:row>33</xdr:row>
      <xdr:rowOff>188793</xdr:rowOff>
    </xdr:to>
    <xdr:sp macro="" textlink="">
      <xdr:nvSpPr>
        <xdr:cNvPr id="68" name="_s5211">
          <a:extLst>
            <a:ext uri="{FF2B5EF4-FFF2-40B4-BE49-F238E27FC236}">
              <a16:creationId xmlns:a16="http://schemas.microsoft.com/office/drawing/2014/main" id="{00000000-0008-0000-0E00-000044000000}"/>
            </a:ext>
          </a:extLst>
        </xdr:cNvPr>
        <xdr:cNvSpPr>
          <a:spLocks noChangeShapeType="1"/>
        </xdr:cNvSpPr>
      </xdr:nvSpPr>
      <xdr:spPr>
        <a:xfrm flipV="1">
          <a:off x="3600450" y="5600700"/>
          <a:ext cx="113665" cy="874395"/>
        </a:xfrm>
        <a:prstGeom prst="bentConnector2">
          <a:avLst/>
        </a:prstGeom>
        <a:noFill/>
        <a:ln w="28575">
          <a:solidFill>
            <a:srgbClr val="000000"/>
          </a:solidFill>
          <a:miter lim="800000"/>
        </a:ln>
      </xdr:spPr>
      <xdr:txBody>
        <a:bodyPr vert="horz" wrap="square" lIns="91440" tIns="45720" rIns="91440" bIns="45720" numCol="1" anchor="t"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_tradnl"/>
        </a:p>
      </xdr:txBody>
    </xdr:sp>
    <xdr:clientData/>
  </xdr:twoCellAnchor>
  <xdr:twoCellAnchor>
    <xdr:from>
      <xdr:col>3</xdr:col>
      <xdr:colOff>600075</xdr:colOff>
      <xdr:row>36</xdr:row>
      <xdr:rowOff>85725</xdr:rowOff>
    </xdr:from>
    <xdr:to>
      <xdr:col>5</xdr:col>
      <xdr:colOff>595694</xdr:colOff>
      <xdr:row>37</xdr:row>
      <xdr:rowOff>45826</xdr:rowOff>
    </xdr:to>
    <xdr:sp macro="" textlink="">
      <xdr:nvSpPr>
        <xdr:cNvPr id="74" name="_s5181">
          <a:extLst>
            <a:ext uri="{FF2B5EF4-FFF2-40B4-BE49-F238E27FC236}">
              <a16:creationId xmlns:a16="http://schemas.microsoft.com/office/drawing/2014/main" id="{00000000-0008-0000-0E00-00004A000000}"/>
            </a:ext>
          </a:extLst>
        </xdr:cNvPr>
        <xdr:cNvSpPr>
          <a:spLocks noChangeArrowheads="1"/>
        </xdr:cNvSpPr>
      </xdr:nvSpPr>
      <xdr:spPr>
        <a:xfrm>
          <a:off x="2400300" y="6943725"/>
          <a:ext cx="1195705" cy="150495"/>
        </a:xfrm>
        <a:prstGeom prst="roundRect">
          <a:avLst>
            <a:gd name="adj" fmla="val 16667"/>
          </a:avLst>
        </a:prstGeom>
        <a:solidFill>
          <a:srgbClr val="00E4A8"/>
        </a:solidFill>
        <a:ln w="9525">
          <a:solidFill>
            <a:srgbClr val="000000"/>
          </a:solidFill>
          <a:round/>
        </a:ln>
      </xdr:spPr>
      <xdr:txBody>
        <a:bodyPr vert="horz" wrap="square" lIns="0" tIns="0" rIns="0" bIns="0" numCol="1" anchor="ctr"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ct val="0"/>
            </a:spcBef>
            <a:spcAft>
              <a:spcPct val="0"/>
            </a:spcAft>
            <a:buClrTx/>
            <a:buSzTx/>
            <a:buFontTx/>
            <a:buNone/>
          </a:pPr>
          <a:r>
            <a:rPr kumimoji="0" lang="es-GT" sz="900" b="0" i="0" u="none" strike="noStrike" cap="none" normalizeH="0" baseline="0">
              <a:ln>
                <a:noFill/>
              </a:ln>
              <a:solidFill>
                <a:srgbClr val="000000"/>
              </a:solidFill>
              <a:effectLst/>
              <a:latin typeface="Arial" pitchFamily="34" charset="0"/>
              <a:ea typeface="Calibri" pitchFamily="34" charset="0"/>
              <a:cs typeface="Arial" pitchFamily="34" charset="0"/>
            </a:rPr>
            <a:t>Mesa  Metropolitana</a:t>
          </a:r>
          <a:endParaRPr kumimoji="0" lang="es-GT" sz="1800" b="0" i="0" u="none" strike="noStrike" cap="none" normalizeH="0" baseline="0">
            <a:ln>
              <a:noFill/>
            </a:ln>
            <a:solidFill>
              <a:schemeClr val="tx1"/>
            </a:solidFill>
            <a:effectLst/>
            <a:latin typeface="Arial" pitchFamily="34" charset="0"/>
          </a:endParaRPr>
        </a:p>
      </xdr:txBody>
    </xdr:sp>
    <xdr:clientData/>
  </xdr:twoCellAnchor>
  <xdr:twoCellAnchor>
    <xdr:from>
      <xdr:col>5</xdr:col>
      <xdr:colOff>600075</xdr:colOff>
      <xdr:row>32</xdr:row>
      <xdr:rowOff>123824</xdr:rowOff>
    </xdr:from>
    <xdr:to>
      <xdr:col>6</xdr:col>
      <xdr:colOff>114122</xdr:colOff>
      <xdr:row>36</xdr:row>
      <xdr:rowOff>152399</xdr:rowOff>
    </xdr:to>
    <xdr:sp macro="" textlink="">
      <xdr:nvSpPr>
        <xdr:cNvPr id="79" name="_s5211">
          <a:extLst>
            <a:ext uri="{FF2B5EF4-FFF2-40B4-BE49-F238E27FC236}">
              <a16:creationId xmlns:a16="http://schemas.microsoft.com/office/drawing/2014/main" id="{00000000-0008-0000-0E00-00004F000000}"/>
            </a:ext>
          </a:extLst>
        </xdr:cNvPr>
        <xdr:cNvSpPr>
          <a:spLocks noChangeShapeType="1"/>
        </xdr:cNvSpPr>
      </xdr:nvSpPr>
      <xdr:spPr>
        <a:xfrm flipV="1">
          <a:off x="3600450" y="6219190"/>
          <a:ext cx="113665" cy="790575"/>
        </a:xfrm>
        <a:prstGeom prst="bentConnector2">
          <a:avLst/>
        </a:prstGeom>
        <a:noFill/>
        <a:ln w="28575">
          <a:solidFill>
            <a:srgbClr val="000000"/>
          </a:solidFill>
          <a:miter lim="800000"/>
        </a:ln>
      </xdr:spPr>
      <xdr:txBody>
        <a:bodyPr vert="horz" wrap="square" lIns="91440" tIns="45720" rIns="91440" bIns="45720" numCol="1" anchor="t" anchorCtr="0" compatLnSpc="1"/>
        <a:lstStyle>
          <a:defPPr>
            <a:defRPr lang="es-E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s-ES_tradnl"/>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4.x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6"/>
  </sheetPr>
  <dimension ref="A1:AI396"/>
  <sheetViews>
    <sheetView tabSelected="1" topLeftCell="A2" zoomScale="80" zoomScaleNormal="80" workbookViewId="0">
      <pane xSplit="4" ySplit="1" topLeftCell="E3" activePane="bottomRight" state="frozen"/>
      <selection pane="topRight"/>
      <selection pane="bottomLeft"/>
      <selection pane="bottomRight" activeCell="A41" sqref="A41"/>
    </sheetView>
  </sheetViews>
  <sheetFormatPr baseColWidth="10" defaultColWidth="11.42578125" defaultRowHeight="12.75"/>
  <cols>
    <col min="1" max="1" width="6.42578125" style="221" customWidth="1"/>
    <col min="2" max="2" width="13.42578125" style="221" customWidth="1"/>
    <col min="3" max="3" width="29.5703125" style="221" customWidth="1"/>
    <col min="4" max="4" width="43.5703125" style="221" customWidth="1"/>
    <col min="5" max="5" width="17.28515625" style="221" customWidth="1"/>
    <col min="6" max="6" width="26.7109375" style="221" customWidth="1"/>
    <col min="7" max="7" width="20.28515625" style="221" customWidth="1"/>
    <col min="8" max="8" width="17.28515625" style="221" customWidth="1"/>
    <col min="9" max="9" width="22.42578125" style="221" bestFit="1" customWidth="1"/>
    <col min="10" max="10" width="18.28515625" style="221" customWidth="1"/>
    <col min="11" max="11" width="17.28515625" style="235" customWidth="1"/>
    <col min="12" max="12" width="20.5703125" style="221" customWidth="1"/>
    <col min="13" max="13" width="12.5703125" style="221" customWidth="1"/>
    <col min="14" max="14" width="13.140625" style="235" customWidth="1"/>
    <col min="15" max="15" width="23" style="221" customWidth="1"/>
    <col min="16" max="16" width="21" style="221" customWidth="1"/>
    <col min="17" max="17" width="14.28515625" style="235" customWidth="1"/>
    <col min="18" max="18" width="15" style="901" customWidth="1"/>
    <col min="19" max="19" width="14.85546875" style="221" customWidth="1"/>
    <col min="20" max="20" width="21.85546875" style="235" customWidth="1"/>
    <col min="21" max="21" width="14" style="221" customWidth="1"/>
    <col min="22" max="23" width="17.140625" style="221" customWidth="1"/>
    <col min="24" max="24" width="28.28515625" style="221" customWidth="1"/>
    <col min="25" max="25" width="17.42578125" style="221" customWidth="1"/>
    <col min="26" max="26" width="29.85546875" style="221" customWidth="1"/>
    <col min="27" max="27" width="32" style="221" customWidth="1"/>
    <col min="28" max="28" width="90.7109375" style="221" customWidth="1"/>
    <col min="29" max="16384" width="11.42578125" style="221"/>
  </cols>
  <sheetData>
    <row r="1" spans="1:35" ht="13.5" thickBot="1">
      <c r="J1" s="904"/>
    </row>
    <row r="2" spans="1:35" s="235" customFormat="1" ht="49.5" customHeight="1" thickBot="1">
      <c r="A2" s="151" t="s">
        <v>0</v>
      </c>
      <c r="B2" s="151" t="s">
        <v>1</v>
      </c>
      <c r="C2" s="329" t="s">
        <v>2</v>
      </c>
      <c r="D2" s="151" t="s">
        <v>3</v>
      </c>
      <c r="E2" s="151" t="s">
        <v>4</v>
      </c>
      <c r="F2" s="151" t="s">
        <v>5</v>
      </c>
      <c r="G2" s="151" t="s">
        <v>6</v>
      </c>
      <c r="H2" s="151" t="s">
        <v>7</v>
      </c>
      <c r="I2" s="810" t="s">
        <v>8</v>
      </c>
      <c r="J2" s="811" t="s">
        <v>9</v>
      </c>
      <c r="K2" s="812" t="s">
        <v>10</v>
      </c>
      <c r="L2" s="329" t="s">
        <v>11</v>
      </c>
      <c r="M2" s="151" t="s">
        <v>12</v>
      </c>
      <c r="N2" s="152" t="s">
        <v>13</v>
      </c>
      <c r="O2" s="329" t="s">
        <v>14</v>
      </c>
      <c r="P2" s="151" t="s">
        <v>15</v>
      </c>
      <c r="Q2" s="153" t="s">
        <v>16</v>
      </c>
      <c r="R2" s="154" t="s">
        <v>17</v>
      </c>
      <c r="S2" s="151" t="s">
        <v>18</v>
      </c>
      <c r="T2" s="155" t="s">
        <v>19</v>
      </c>
      <c r="U2" s="155" t="s">
        <v>20</v>
      </c>
      <c r="V2" s="151" t="s">
        <v>21</v>
      </c>
      <c r="W2" s="910" t="s">
        <v>22</v>
      </c>
      <c r="X2" s="893" t="s">
        <v>23</v>
      </c>
      <c r="Y2" s="893" t="s">
        <v>24</v>
      </c>
      <c r="Z2" s="159" t="s">
        <v>25</v>
      </c>
      <c r="AA2" s="159" t="s">
        <v>26</v>
      </c>
      <c r="AB2" s="159" t="s">
        <v>27</v>
      </c>
    </row>
    <row r="3" spans="1:35" ht="38.25" hidden="1" customHeight="1">
      <c r="A3" s="166">
        <v>1</v>
      </c>
      <c r="B3" s="45" t="s">
        <v>28</v>
      </c>
      <c r="C3" s="809" t="s">
        <v>29</v>
      </c>
      <c r="D3" s="336" t="s">
        <v>30</v>
      </c>
      <c r="E3" s="165" t="s">
        <v>31</v>
      </c>
      <c r="F3" s="336" t="s">
        <v>32</v>
      </c>
      <c r="G3" s="336" t="s">
        <v>33</v>
      </c>
      <c r="H3" s="336" t="s">
        <v>32</v>
      </c>
      <c r="I3" s="337">
        <v>55005</v>
      </c>
      <c r="J3" s="813">
        <v>0</v>
      </c>
      <c r="K3" s="814">
        <v>55005</v>
      </c>
      <c r="L3" s="336" t="s">
        <v>34</v>
      </c>
      <c r="M3" s="165">
        <v>1955</v>
      </c>
      <c r="N3" s="179" t="s">
        <v>35</v>
      </c>
      <c r="O3" s="51" t="s">
        <v>36</v>
      </c>
      <c r="P3" s="176" t="s">
        <v>37</v>
      </c>
      <c r="Q3" s="189"/>
      <c r="R3" s="190" t="s">
        <v>38</v>
      </c>
      <c r="S3" s="194" t="s">
        <v>39</v>
      </c>
      <c r="T3" s="191" t="s">
        <v>40</v>
      </c>
      <c r="U3" s="191">
        <v>2004</v>
      </c>
      <c r="V3" s="192" t="s">
        <v>41</v>
      </c>
      <c r="W3" s="911" t="s">
        <v>42</v>
      </c>
      <c r="X3" s="176" t="s">
        <v>43</v>
      </c>
      <c r="Y3" s="176">
        <v>4017</v>
      </c>
      <c r="Z3" s="148" t="s">
        <v>44</v>
      </c>
      <c r="AA3" s="12" t="s">
        <v>45</v>
      </c>
      <c r="AB3" s="12"/>
    </row>
    <row r="4" spans="1:35" ht="37.5" hidden="1" customHeight="1">
      <c r="A4" s="166">
        <f>A3+1</f>
        <v>2</v>
      </c>
      <c r="B4" s="47" t="s">
        <v>46</v>
      </c>
      <c r="C4" s="200" t="s">
        <v>47</v>
      </c>
      <c r="D4" s="148" t="s">
        <v>48</v>
      </c>
      <c r="E4" s="166" t="s">
        <v>49</v>
      </c>
      <c r="F4" s="148" t="s">
        <v>32</v>
      </c>
      <c r="G4" s="148" t="s">
        <v>33</v>
      </c>
      <c r="H4" s="148" t="s">
        <v>32</v>
      </c>
      <c r="I4" s="313">
        <v>734.77</v>
      </c>
      <c r="J4" s="314">
        <v>0</v>
      </c>
      <c r="K4" s="341">
        <v>734.77</v>
      </c>
      <c r="L4" s="148" t="s">
        <v>50</v>
      </c>
      <c r="M4" s="166">
        <v>1989</v>
      </c>
      <c r="N4" s="179" t="s">
        <v>35</v>
      </c>
      <c r="O4" s="46" t="s">
        <v>51</v>
      </c>
      <c r="P4" s="27" t="s">
        <v>52</v>
      </c>
      <c r="Q4" s="27"/>
      <c r="R4" s="190" t="s">
        <v>38</v>
      </c>
      <c r="S4" s="194" t="s">
        <v>53</v>
      </c>
      <c r="T4" s="195" t="s">
        <v>54</v>
      </c>
      <c r="U4" s="195">
        <v>2003</v>
      </c>
      <c r="V4" s="196" t="s">
        <v>55</v>
      </c>
      <c r="W4" s="66" t="s">
        <v>42</v>
      </c>
      <c r="X4" s="27" t="s">
        <v>43</v>
      </c>
      <c r="Y4" s="27">
        <v>3690</v>
      </c>
      <c r="Z4" s="148" t="s">
        <v>56</v>
      </c>
      <c r="AA4" s="12" t="s">
        <v>45</v>
      </c>
      <c r="AB4" s="12"/>
    </row>
    <row r="5" spans="1:35" ht="54.75" hidden="1" customHeight="1">
      <c r="A5" s="166">
        <f t="shared" ref="A5:A68" si="0">A4+1</f>
        <v>3</v>
      </c>
      <c r="B5" s="45" t="s">
        <v>57</v>
      </c>
      <c r="C5" s="200" t="s">
        <v>58</v>
      </c>
      <c r="D5" s="148" t="s">
        <v>30</v>
      </c>
      <c r="E5" s="166" t="s">
        <v>31</v>
      </c>
      <c r="F5" s="148" t="s">
        <v>32</v>
      </c>
      <c r="G5" s="148" t="s">
        <v>59</v>
      </c>
      <c r="H5" s="148" t="s">
        <v>32</v>
      </c>
      <c r="I5" s="313">
        <v>202865</v>
      </c>
      <c r="J5" s="314">
        <v>0</v>
      </c>
      <c r="K5" s="341">
        <v>202865</v>
      </c>
      <c r="L5" s="148" t="s">
        <v>60</v>
      </c>
      <c r="M5" s="166">
        <v>1990</v>
      </c>
      <c r="N5" s="179" t="s">
        <v>35</v>
      </c>
      <c r="O5" s="48" t="s">
        <v>61</v>
      </c>
      <c r="P5" s="27" t="s">
        <v>62</v>
      </c>
      <c r="Q5" s="53" t="s">
        <v>63</v>
      </c>
      <c r="R5" s="190" t="s">
        <v>38</v>
      </c>
      <c r="S5" s="194" t="s">
        <v>53</v>
      </c>
      <c r="T5" s="195" t="s">
        <v>64</v>
      </c>
      <c r="U5" s="195">
        <v>2006</v>
      </c>
      <c r="V5" s="196" t="s">
        <v>65</v>
      </c>
      <c r="W5" s="66" t="s">
        <v>66</v>
      </c>
      <c r="X5" s="27" t="s">
        <v>43</v>
      </c>
      <c r="Y5" s="27" t="s">
        <v>67</v>
      </c>
      <c r="Z5" s="148" t="s">
        <v>68</v>
      </c>
      <c r="AA5" s="148" t="s">
        <v>69</v>
      </c>
      <c r="AB5" s="166"/>
    </row>
    <row r="6" spans="1:35" ht="42" hidden="1" customHeight="1">
      <c r="A6" s="166">
        <f t="shared" si="0"/>
        <v>4</v>
      </c>
      <c r="B6" s="47" t="s">
        <v>70</v>
      </c>
      <c r="C6" s="148" t="s">
        <v>71</v>
      </c>
      <c r="D6" s="148" t="s">
        <v>30</v>
      </c>
      <c r="E6" s="166" t="s">
        <v>31</v>
      </c>
      <c r="F6" s="148" t="s">
        <v>32</v>
      </c>
      <c r="G6" s="148" t="s">
        <v>72</v>
      </c>
      <c r="H6" s="148" t="s">
        <v>32</v>
      </c>
      <c r="I6" s="313">
        <v>289912</v>
      </c>
      <c r="J6" s="314">
        <v>0</v>
      </c>
      <c r="K6" s="341">
        <v>289912</v>
      </c>
      <c r="L6" s="148" t="s">
        <v>60</v>
      </c>
      <c r="M6" s="166">
        <v>1990</v>
      </c>
      <c r="N6" s="179" t="s">
        <v>35</v>
      </c>
      <c r="O6" s="54" t="s">
        <v>73</v>
      </c>
      <c r="P6" s="27" t="s">
        <v>74</v>
      </c>
      <c r="Q6" s="50" t="s">
        <v>75</v>
      </c>
      <c r="R6" s="190" t="s">
        <v>38</v>
      </c>
      <c r="S6" s="194" t="s">
        <v>39</v>
      </c>
      <c r="T6" s="195" t="s">
        <v>76</v>
      </c>
      <c r="U6" s="195">
        <v>2010</v>
      </c>
      <c r="V6" s="196" t="s">
        <v>77</v>
      </c>
      <c r="W6" s="66" t="s">
        <v>66</v>
      </c>
      <c r="X6" s="27" t="s">
        <v>43</v>
      </c>
      <c r="Y6" s="27" t="s">
        <v>67</v>
      </c>
      <c r="Z6" s="148" t="s">
        <v>68</v>
      </c>
      <c r="AA6" s="148" t="s">
        <v>69</v>
      </c>
      <c r="AB6" s="166"/>
    </row>
    <row r="7" spans="1:35" ht="37.5" hidden="1" customHeight="1">
      <c r="A7" s="166">
        <f t="shared" si="0"/>
        <v>5</v>
      </c>
      <c r="B7" s="45" t="s">
        <v>78</v>
      </c>
      <c r="C7" s="148" t="s">
        <v>79</v>
      </c>
      <c r="D7" s="148" t="s">
        <v>48</v>
      </c>
      <c r="E7" s="166" t="s">
        <v>49</v>
      </c>
      <c r="F7" s="148" t="s">
        <v>32</v>
      </c>
      <c r="G7" s="148" t="s">
        <v>72</v>
      </c>
      <c r="H7" s="148" t="s">
        <v>32</v>
      </c>
      <c r="I7" s="313">
        <v>45168</v>
      </c>
      <c r="J7" s="314">
        <v>0</v>
      </c>
      <c r="K7" s="341">
        <v>45168</v>
      </c>
      <c r="L7" s="148" t="s">
        <v>60</v>
      </c>
      <c r="M7" s="166">
        <v>1990</v>
      </c>
      <c r="N7" s="179" t="s">
        <v>35</v>
      </c>
      <c r="O7" s="46" t="s">
        <v>51</v>
      </c>
      <c r="P7" s="27" t="s">
        <v>37</v>
      </c>
      <c r="Q7" s="27"/>
      <c r="R7" s="190" t="s">
        <v>38</v>
      </c>
      <c r="S7" s="194" t="s">
        <v>39</v>
      </c>
      <c r="T7" s="195" t="s">
        <v>80</v>
      </c>
      <c r="U7" s="195">
        <v>2010</v>
      </c>
      <c r="V7" s="196" t="s">
        <v>77</v>
      </c>
      <c r="W7" s="66" t="s">
        <v>66</v>
      </c>
      <c r="X7" s="27" t="s">
        <v>43</v>
      </c>
      <c r="Y7" s="27" t="s">
        <v>67</v>
      </c>
      <c r="Z7" s="148" t="s">
        <v>68</v>
      </c>
      <c r="AA7" s="148" t="s">
        <v>69</v>
      </c>
      <c r="AB7" s="166"/>
    </row>
    <row r="8" spans="1:35" ht="38.25" hidden="1" customHeight="1">
      <c r="A8" s="166">
        <f t="shared" si="0"/>
        <v>6</v>
      </c>
      <c r="B8" s="47" t="s">
        <v>81</v>
      </c>
      <c r="C8" s="148" t="s">
        <v>82</v>
      </c>
      <c r="D8" s="148" t="s">
        <v>30</v>
      </c>
      <c r="E8" s="166" t="s">
        <v>31</v>
      </c>
      <c r="F8" s="148" t="s">
        <v>32</v>
      </c>
      <c r="G8" s="148" t="s">
        <v>83</v>
      </c>
      <c r="H8" s="148" t="s">
        <v>32</v>
      </c>
      <c r="I8" s="313">
        <v>116911</v>
      </c>
      <c r="J8" s="314">
        <v>0</v>
      </c>
      <c r="K8" s="341">
        <v>116911</v>
      </c>
      <c r="L8" s="148" t="s">
        <v>60</v>
      </c>
      <c r="M8" s="166">
        <v>1990</v>
      </c>
      <c r="N8" s="179" t="s">
        <v>35</v>
      </c>
      <c r="O8" s="54" t="s">
        <v>73</v>
      </c>
      <c r="P8" s="27" t="s">
        <v>74</v>
      </c>
      <c r="Q8" s="197"/>
      <c r="R8" s="190" t="s">
        <v>38</v>
      </c>
      <c r="S8" s="194" t="s">
        <v>39</v>
      </c>
      <c r="T8" s="195" t="s">
        <v>84</v>
      </c>
      <c r="U8" s="195">
        <v>2009</v>
      </c>
      <c r="V8" s="196" t="s">
        <v>85</v>
      </c>
      <c r="W8" s="66" t="s">
        <v>66</v>
      </c>
      <c r="X8" s="27" t="s">
        <v>43</v>
      </c>
      <c r="Y8" s="27">
        <v>3492</v>
      </c>
      <c r="Z8" s="148" t="s">
        <v>68</v>
      </c>
      <c r="AA8" s="148" t="s">
        <v>69</v>
      </c>
      <c r="AB8" s="166"/>
    </row>
    <row r="9" spans="1:35" ht="37.5" hidden="1" customHeight="1">
      <c r="A9" s="166">
        <f t="shared" si="0"/>
        <v>7</v>
      </c>
      <c r="B9" s="45" t="s">
        <v>86</v>
      </c>
      <c r="C9" s="170" t="s">
        <v>87</v>
      </c>
      <c r="D9" s="148" t="s">
        <v>48</v>
      </c>
      <c r="E9" s="166" t="s">
        <v>49</v>
      </c>
      <c r="F9" s="148" t="s">
        <v>32</v>
      </c>
      <c r="G9" s="148" t="s">
        <v>88</v>
      </c>
      <c r="H9" s="148" t="s">
        <v>32</v>
      </c>
      <c r="I9" s="313">
        <v>34934</v>
      </c>
      <c r="J9" s="314">
        <v>0</v>
      </c>
      <c r="K9" s="341">
        <v>34934</v>
      </c>
      <c r="L9" s="148" t="s">
        <v>60</v>
      </c>
      <c r="M9" s="166">
        <v>1990</v>
      </c>
      <c r="N9" s="179" t="s">
        <v>35</v>
      </c>
      <c r="O9" s="46" t="s">
        <v>51</v>
      </c>
      <c r="P9" s="27" t="s">
        <v>37</v>
      </c>
      <c r="Q9" s="27"/>
      <c r="R9" s="198" t="s">
        <v>89</v>
      </c>
      <c r="S9" s="199" t="s">
        <v>90</v>
      </c>
      <c r="T9" s="148" t="s">
        <v>35</v>
      </c>
      <c r="U9" s="148" t="s">
        <v>35</v>
      </c>
      <c r="V9" s="148" t="s">
        <v>35</v>
      </c>
      <c r="W9" s="66" t="s">
        <v>66</v>
      </c>
      <c r="X9" s="27" t="s">
        <v>43</v>
      </c>
      <c r="Y9" s="27" t="s">
        <v>67</v>
      </c>
      <c r="Z9" s="148" t="s">
        <v>68</v>
      </c>
      <c r="AA9" s="166" t="s">
        <v>91</v>
      </c>
      <c r="AB9" s="166"/>
    </row>
    <row r="10" spans="1:35" ht="39.75" hidden="1" customHeight="1">
      <c r="A10" s="166">
        <f t="shared" si="0"/>
        <v>8</v>
      </c>
      <c r="B10" s="47" t="s">
        <v>92</v>
      </c>
      <c r="C10" s="148" t="s">
        <v>93</v>
      </c>
      <c r="D10" s="148" t="s">
        <v>48</v>
      </c>
      <c r="E10" s="166" t="s">
        <v>49</v>
      </c>
      <c r="F10" s="148" t="s">
        <v>32</v>
      </c>
      <c r="G10" s="148" t="s">
        <v>94</v>
      </c>
      <c r="H10" s="148" t="s">
        <v>32</v>
      </c>
      <c r="I10" s="313">
        <v>30719</v>
      </c>
      <c r="J10" s="314">
        <v>0</v>
      </c>
      <c r="K10" s="341">
        <v>30719</v>
      </c>
      <c r="L10" s="148" t="s">
        <v>60</v>
      </c>
      <c r="M10" s="166">
        <v>1990</v>
      </c>
      <c r="N10" s="179" t="s">
        <v>35</v>
      </c>
      <c r="O10" s="46" t="s">
        <v>51</v>
      </c>
      <c r="P10" s="27" t="s">
        <v>37</v>
      </c>
      <c r="Q10" s="27"/>
      <c r="R10" s="190" t="s">
        <v>38</v>
      </c>
      <c r="S10" s="194" t="s">
        <v>39</v>
      </c>
      <c r="T10" s="200" t="s">
        <v>95</v>
      </c>
      <c r="U10" s="195">
        <v>2009</v>
      </c>
      <c r="V10" s="196" t="s">
        <v>85</v>
      </c>
      <c r="W10" s="66" t="s">
        <v>66</v>
      </c>
      <c r="X10" s="27" t="s">
        <v>43</v>
      </c>
      <c r="Y10" s="27">
        <v>3492</v>
      </c>
      <c r="Z10" s="148" t="s">
        <v>68</v>
      </c>
      <c r="AA10" s="148" t="s">
        <v>69</v>
      </c>
      <c r="AB10" s="166"/>
    </row>
    <row r="11" spans="1:35" ht="37.5" hidden="1" customHeight="1">
      <c r="A11" s="166">
        <f t="shared" si="0"/>
        <v>9</v>
      </c>
      <c r="B11" s="47" t="s">
        <v>96</v>
      </c>
      <c r="C11" s="200" t="s">
        <v>97</v>
      </c>
      <c r="D11" s="148" t="s">
        <v>30</v>
      </c>
      <c r="E11" s="166" t="s">
        <v>31</v>
      </c>
      <c r="F11" s="148" t="s">
        <v>32</v>
      </c>
      <c r="G11" s="148" t="s">
        <v>98</v>
      </c>
      <c r="H11" s="148" t="s">
        <v>32</v>
      </c>
      <c r="I11" s="313">
        <v>37160</v>
      </c>
      <c r="J11" s="314">
        <v>0</v>
      </c>
      <c r="K11" s="341">
        <v>37160</v>
      </c>
      <c r="L11" s="148" t="s">
        <v>99</v>
      </c>
      <c r="M11" s="166">
        <v>2003</v>
      </c>
      <c r="N11" s="179" t="s">
        <v>35</v>
      </c>
      <c r="O11" s="54" t="s">
        <v>73</v>
      </c>
      <c r="P11" s="27" t="s">
        <v>37</v>
      </c>
      <c r="Q11" s="50" t="s">
        <v>75</v>
      </c>
      <c r="R11" s="190" t="s">
        <v>38</v>
      </c>
      <c r="S11" s="201" t="s">
        <v>100</v>
      </c>
      <c r="T11" s="200" t="s">
        <v>101</v>
      </c>
      <c r="U11" s="195">
        <v>2006</v>
      </c>
      <c r="V11" s="196" t="s">
        <v>65</v>
      </c>
      <c r="W11" s="66" t="s">
        <v>66</v>
      </c>
      <c r="X11" s="27" t="s">
        <v>43</v>
      </c>
      <c r="Y11" s="27" t="s">
        <v>67</v>
      </c>
      <c r="Z11" s="148" t="s">
        <v>102</v>
      </c>
      <c r="AA11" s="148" t="s">
        <v>69</v>
      </c>
      <c r="AB11" s="166"/>
    </row>
    <row r="12" spans="1:35" ht="101.25" hidden="1" customHeight="1">
      <c r="A12" s="166">
        <f t="shared" si="0"/>
        <v>10</v>
      </c>
      <c r="B12" s="45" t="s">
        <v>103</v>
      </c>
      <c r="C12" s="46" t="s">
        <v>104</v>
      </c>
      <c r="D12" s="148" t="s">
        <v>105</v>
      </c>
      <c r="E12" s="53" t="s">
        <v>106</v>
      </c>
      <c r="F12" s="53" t="s">
        <v>32</v>
      </c>
      <c r="G12" s="53" t="s">
        <v>107</v>
      </c>
      <c r="H12" s="53" t="s">
        <v>108</v>
      </c>
      <c r="I12" s="905">
        <v>2160204</v>
      </c>
      <c r="J12" s="906">
        <v>2160204</v>
      </c>
      <c r="K12" s="819">
        <v>2160204</v>
      </c>
      <c r="L12" s="148" t="s">
        <v>109</v>
      </c>
      <c r="M12" s="53">
        <v>1990</v>
      </c>
      <c r="N12" s="179" t="s">
        <v>35</v>
      </c>
      <c r="O12" s="54" t="s">
        <v>73</v>
      </c>
      <c r="P12" s="27" t="s">
        <v>74</v>
      </c>
      <c r="Q12" s="197"/>
      <c r="R12" s="190" t="s">
        <v>38</v>
      </c>
      <c r="S12" s="201" t="s">
        <v>100</v>
      </c>
      <c r="T12" s="200" t="s">
        <v>110</v>
      </c>
      <c r="U12" s="195">
        <v>2015</v>
      </c>
      <c r="V12" s="202" t="s">
        <v>111</v>
      </c>
      <c r="W12" s="66" t="s">
        <v>66</v>
      </c>
      <c r="X12" s="27" t="s">
        <v>112</v>
      </c>
      <c r="Y12" s="27" t="s">
        <v>67</v>
      </c>
      <c r="Z12" s="148" t="s">
        <v>68</v>
      </c>
      <c r="AA12" s="11" t="s">
        <v>113</v>
      </c>
      <c r="AB12" s="11" t="s">
        <v>114</v>
      </c>
    </row>
    <row r="13" spans="1:35" ht="30" hidden="1" customHeight="1">
      <c r="A13" s="166">
        <f t="shared" si="0"/>
        <v>11</v>
      </c>
      <c r="B13" s="47" t="s">
        <v>115</v>
      </c>
      <c r="C13" s="148" t="s">
        <v>116</v>
      </c>
      <c r="D13" s="148" t="s">
        <v>117</v>
      </c>
      <c r="E13" s="166" t="s">
        <v>31</v>
      </c>
      <c r="F13" s="148" t="s">
        <v>32</v>
      </c>
      <c r="G13" s="148" t="s">
        <v>118</v>
      </c>
      <c r="H13" s="148" t="s">
        <v>32</v>
      </c>
      <c r="I13" s="905">
        <v>60878</v>
      </c>
      <c r="J13" s="906">
        <v>60878</v>
      </c>
      <c r="K13" s="819">
        <v>60878</v>
      </c>
      <c r="L13" s="148" t="s">
        <v>119</v>
      </c>
      <c r="M13" s="166">
        <v>1995</v>
      </c>
      <c r="N13" s="179" t="s">
        <v>35</v>
      </c>
      <c r="O13" s="54" t="s">
        <v>73</v>
      </c>
      <c r="P13" s="27" t="s">
        <v>74</v>
      </c>
      <c r="Q13" s="197"/>
      <c r="R13" s="190" t="s">
        <v>38</v>
      </c>
      <c r="S13" s="194" t="s">
        <v>39</v>
      </c>
      <c r="T13" s="200" t="s">
        <v>120</v>
      </c>
      <c r="U13" s="195">
        <v>2008</v>
      </c>
      <c r="V13" s="196" t="s">
        <v>121</v>
      </c>
      <c r="W13" s="66" t="s">
        <v>66</v>
      </c>
      <c r="X13" s="27" t="s">
        <v>112</v>
      </c>
      <c r="Y13" s="27"/>
      <c r="Z13" s="148" t="s">
        <v>122</v>
      </c>
      <c r="AA13" s="180" t="s">
        <v>123</v>
      </c>
      <c r="AB13" s="912"/>
      <c r="AC13" s="913"/>
      <c r="AD13" s="914"/>
      <c r="AE13" s="914"/>
      <c r="AF13" s="915"/>
      <c r="AG13" s="62"/>
      <c r="AH13" s="229"/>
      <c r="AI13" s="921"/>
    </row>
    <row r="14" spans="1:35" ht="30" hidden="1" customHeight="1">
      <c r="A14" s="166">
        <f t="shared" si="0"/>
        <v>12</v>
      </c>
      <c r="B14" s="45" t="s">
        <v>124</v>
      </c>
      <c r="C14" s="148" t="s">
        <v>125</v>
      </c>
      <c r="D14" s="148" t="s">
        <v>126</v>
      </c>
      <c r="E14" s="166" t="s">
        <v>127</v>
      </c>
      <c r="F14" s="148" t="s">
        <v>32</v>
      </c>
      <c r="G14" s="148" t="s">
        <v>128</v>
      </c>
      <c r="H14" s="148" t="s">
        <v>32</v>
      </c>
      <c r="I14" s="907">
        <v>16695</v>
      </c>
      <c r="J14" s="908">
        <v>36139.800000000003</v>
      </c>
      <c r="K14" s="909">
        <v>36139.800000000003</v>
      </c>
      <c r="L14" s="148" t="s">
        <v>129</v>
      </c>
      <c r="M14" s="166">
        <v>1995</v>
      </c>
      <c r="N14" s="179" t="s">
        <v>35</v>
      </c>
      <c r="O14" s="54" t="s">
        <v>73</v>
      </c>
      <c r="P14" s="27" t="s">
        <v>74</v>
      </c>
      <c r="Q14" s="197"/>
      <c r="R14" s="190" t="s">
        <v>38</v>
      </c>
      <c r="S14" s="194" t="s">
        <v>39</v>
      </c>
      <c r="T14" s="200" t="s">
        <v>120</v>
      </c>
      <c r="U14" s="195">
        <v>2008</v>
      </c>
      <c r="V14" s="196" t="s">
        <v>121</v>
      </c>
      <c r="W14" s="66" t="s">
        <v>66</v>
      </c>
      <c r="X14" s="27" t="s">
        <v>112</v>
      </c>
      <c r="Y14" s="27"/>
      <c r="Z14" s="148" t="s">
        <v>122</v>
      </c>
      <c r="AA14" s="180" t="s">
        <v>123</v>
      </c>
      <c r="AB14" s="916"/>
      <c r="AC14" s="915"/>
      <c r="AD14" s="917"/>
      <c r="AE14" s="62"/>
      <c r="AF14" s="915"/>
      <c r="AG14" s="62"/>
      <c r="AH14" s="229"/>
    </row>
    <row r="15" spans="1:35" ht="30" hidden="1" customHeight="1">
      <c r="A15" s="166">
        <f t="shared" si="0"/>
        <v>13</v>
      </c>
      <c r="B15" s="47" t="s">
        <v>130</v>
      </c>
      <c r="C15" s="148" t="s">
        <v>131</v>
      </c>
      <c r="D15" s="148" t="s">
        <v>126</v>
      </c>
      <c r="E15" s="166" t="s">
        <v>127</v>
      </c>
      <c r="F15" s="148" t="s">
        <v>32</v>
      </c>
      <c r="G15" s="148" t="s">
        <v>118</v>
      </c>
      <c r="H15" s="148" t="s">
        <v>32</v>
      </c>
      <c r="I15" s="907">
        <v>4044</v>
      </c>
      <c r="J15" s="908">
        <v>23488.799999999999</v>
      </c>
      <c r="K15" s="909">
        <v>23488.799999999999</v>
      </c>
      <c r="L15" s="148" t="s">
        <v>132</v>
      </c>
      <c r="M15" s="166">
        <v>1995</v>
      </c>
      <c r="N15" s="179" t="s">
        <v>35</v>
      </c>
      <c r="O15" s="54" t="s">
        <v>73</v>
      </c>
      <c r="P15" s="27" t="s">
        <v>74</v>
      </c>
      <c r="Q15" s="197"/>
      <c r="R15" s="190" t="s">
        <v>38</v>
      </c>
      <c r="S15" s="194" t="s">
        <v>39</v>
      </c>
      <c r="T15" s="200" t="s">
        <v>120</v>
      </c>
      <c r="U15" s="195">
        <v>2008</v>
      </c>
      <c r="V15" s="196" t="s">
        <v>121</v>
      </c>
      <c r="W15" s="66" t="s">
        <v>66</v>
      </c>
      <c r="X15" s="27" t="s">
        <v>112</v>
      </c>
      <c r="Y15" s="27"/>
      <c r="Z15" s="148" t="s">
        <v>122</v>
      </c>
      <c r="AA15" s="180" t="s">
        <v>123</v>
      </c>
      <c r="AB15" s="916"/>
      <c r="AC15" s="915"/>
      <c r="AD15" s="917"/>
      <c r="AE15" s="62"/>
      <c r="AF15" s="915"/>
      <c r="AG15" s="62"/>
      <c r="AH15" s="229"/>
    </row>
    <row r="16" spans="1:35" ht="30" hidden="1" customHeight="1">
      <c r="A16" s="166">
        <f t="shared" si="0"/>
        <v>14</v>
      </c>
      <c r="B16" s="45" t="s">
        <v>133</v>
      </c>
      <c r="C16" s="148" t="s">
        <v>134</v>
      </c>
      <c r="D16" s="148" t="s">
        <v>135</v>
      </c>
      <c r="E16" s="166" t="s">
        <v>49</v>
      </c>
      <c r="F16" s="148" t="s">
        <v>32</v>
      </c>
      <c r="G16" s="148" t="s">
        <v>118</v>
      </c>
      <c r="H16" s="148" t="s">
        <v>32</v>
      </c>
      <c r="I16" s="907">
        <v>1683</v>
      </c>
      <c r="J16" s="908">
        <v>21127.8</v>
      </c>
      <c r="K16" s="909">
        <v>21127.8</v>
      </c>
      <c r="L16" s="148" t="s">
        <v>132</v>
      </c>
      <c r="M16" s="166">
        <v>1995</v>
      </c>
      <c r="N16" s="179" t="s">
        <v>35</v>
      </c>
      <c r="O16" s="50" t="s">
        <v>136</v>
      </c>
      <c r="P16" s="181" t="s">
        <v>62</v>
      </c>
      <c r="Q16" s="197"/>
      <c r="R16" s="190" t="s">
        <v>38</v>
      </c>
      <c r="S16" s="194" t="s">
        <v>39</v>
      </c>
      <c r="T16" s="200" t="s">
        <v>120</v>
      </c>
      <c r="U16" s="195">
        <v>2008</v>
      </c>
      <c r="V16" s="196" t="s">
        <v>121</v>
      </c>
      <c r="W16" s="66" t="s">
        <v>66</v>
      </c>
      <c r="X16" s="27" t="s">
        <v>112</v>
      </c>
      <c r="Y16" s="27" t="s">
        <v>67</v>
      </c>
      <c r="Z16" s="148" t="s">
        <v>122</v>
      </c>
      <c r="AA16" s="180" t="s">
        <v>123</v>
      </c>
      <c r="AB16" s="916"/>
      <c r="AC16" s="915"/>
      <c r="AD16" s="917"/>
      <c r="AE16" s="62"/>
      <c r="AF16" s="915"/>
      <c r="AG16" s="62"/>
      <c r="AH16" s="229"/>
    </row>
    <row r="17" spans="1:34" ht="30" hidden="1" customHeight="1">
      <c r="A17" s="166">
        <f t="shared" si="0"/>
        <v>15</v>
      </c>
      <c r="B17" s="47" t="s">
        <v>137</v>
      </c>
      <c r="C17" s="148" t="s">
        <v>138</v>
      </c>
      <c r="D17" s="148" t="s">
        <v>135</v>
      </c>
      <c r="E17" s="166" t="s">
        <v>49</v>
      </c>
      <c r="F17" s="148" t="s">
        <v>32</v>
      </c>
      <c r="G17" s="148" t="s">
        <v>118</v>
      </c>
      <c r="H17" s="148" t="s">
        <v>32</v>
      </c>
      <c r="I17" s="907">
        <v>3120</v>
      </c>
      <c r="J17" s="908">
        <v>22564.799999999999</v>
      </c>
      <c r="K17" s="909">
        <v>22564.799999999999</v>
      </c>
      <c r="L17" s="148" t="s">
        <v>132</v>
      </c>
      <c r="M17" s="166">
        <v>1995</v>
      </c>
      <c r="N17" s="179" t="s">
        <v>35</v>
      </c>
      <c r="O17" s="50" t="s">
        <v>136</v>
      </c>
      <c r="P17" s="181" t="s">
        <v>62</v>
      </c>
      <c r="Q17" s="197"/>
      <c r="R17" s="190" t="s">
        <v>38</v>
      </c>
      <c r="S17" s="194" t="s">
        <v>39</v>
      </c>
      <c r="T17" s="200" t="s">
        <v>120</v>
      </c>
      <c r="U17" s="195">
        <v>2008</v>
      </c>
      <c r="V17" s="196" t="s">
        <v>121</v>
      </c>
      <c r="W17" s="66" t="s">
        <v>66</v>
      </c>
      <c r="X17" s="27" t="s">
        <v>112</v>
      </c>
      <c r="Y17" s="27" t="s">
        <v>67</v>
      </c>
      <c r="Z17" s="148" t="s">
        <v>122</v>
      </c>
      <c r="AA17" s="180" t="s">
        <v>123</v>
      </c>
      <c r="AB17" s="916"/>
      <c r="AC17" s="915"/>
      <c r="AD17" s="917"/>
      <c r="AE17" s="62"/>
      <c r="AF17" s="915"/>
      <c r="AG17" s="62"/>
      <c r="AH17" s="229"/>
    </row>
    <row r="18" spans="1:34" ht="30" hidden="1" customHeight="1">
      <c r="A18" s="166">
        <f t="shared" si="0"/>
        <v>16</v>
      </c>
      <c r="B18" s="45" t="s">
        <v>139</v>
      </c>
      <c r="C18" s="148" t="s">
        <v>140</v>
      </c>
      <c r="D18" s="148" t="s">
        <v>135</v>
      </c>
      <c r="E18" s="166" t="s">
        <v>49</v>
      </c>
      <c r="F18" s="148" t="s">
        <v>32</v>
      </c>
      <c r="G18" s="148" t="s">
        <v>118</v>
      </c>
      <c r="H18" s="148" t="s">
        <v>32</v>
      </c>
      <c r="I18" s="907">
        <v>1512</v>
      </c>
      <c r="J18" s="908">
        <v>20956.8</v>
      </c>
      <c r="K18" s="909">
        <v>20956.8</v>
      </c>
      <c r="L18" s="148" t="s">
        <v>132</v>
      </c>
      <c r="M18" s="166">
        <v>1995</v>
      </c>
      <c r="N18" s="179" t="s">
        <v>35</v>
      </c>
      <c r="O18" s="50" t="s">
        <v>136</v>
      </c>
      <c r="P18" s="181" t="s">
        <v>62</v>
      </c>
      <c r="Q18" s="197"/>
      <c r="R18" s="190" t="s">
        <v>38</v>
      </c>
      <c r="S18" s="194" t="s">
        <v>39</v>
      </c>
      <c r="T18" s="200" t="s">
        <v>120</v>
      </c>
      <c r="U18" s="195">
        <v>2008</v>
      </c>
      <c r="V18" s="196" t="s">
        <v>121</v>
      </c>
      <c r="W18" s="66" t="s">
        <v>66</v>
      </c>
      <c r="X18" s="27" t="s">
        <v>112</v>
      </c>
      <c r="Y18" s="27" t="s">
        <v>67</v>
      </c>
      <c r="Z18" s="148" t="s">
        <v>122</v>
      </c>
      <c r="AA18" s="180" t="s">
        <v>123</v>
      </c>
      <c r="AB18" s="916"/>
      <c r="AC18" s="915"/>
      <c r="AD18" s="917"/>
      <c r="AE18" s="62"/>
      <c r="AF18" s="229"/>
      <c r="AG18" s="62"/>
      <c r="AH18" s="62"/>
    </row>
    <row r="19" spans="1:34" ht="36.75" hidden="1" customHeight="1">
      <c r="A19" s="166">
        <f t="shared" si="0"/>
        <v>17</v>
      </c>
      <c r="B19" s="47" t="s">
        <v>141</v>
      </c>
      <c r="C19" s="902" t="s">
        <v>142</v>
      </c>
      <c r="D19" s="148" t="s">
        <v>105</v>
      </c>
      <c r="E19" s="166" t="s">
        <v>106</v>
      </c>
      <c r="F19" s="148" t="s">
        <v>32</v>
      </c>
      <c r="G19" s="148" t="s">
        <v>143</v>
      </c>
      <c r="H19" s="148" t="s">
        <v>32</v>
      </c>
      <c r="I19" s="313">
        <v>123685</v>
      </c>
      <c r="J19" s="318">
        <v>123685</v>
      </c>
      <c r="K19" s="341">
        <v>123685</v>
      </c>
      <c r="L19" s="148" t="s">
        <v>132</v>
      </c>
      <c r="M19" s="166">
        <v>1995</v>
      </c>
      <c r="N19" s="179" t="s">
        <v>35</v>
      </c>
      <c r="O19" s="54" t="s">
        <v>73</v>
      </c>
      <c r="P19" s="27" t="s">
        <v>74</v>
      </c>
      <c r="Q19" s="197"/>
      <c r="R19" s="190" t="s">
        <v>38</v>
      </c>
      <c r="S19" s="194" t="s">
        <v>53</v>
      </c>
      <c r="T19" s="200" t="s">
        <v>144</v>
      </c>
      <c r="U19" s="195">
        <v>2011</v>
      </c>
      <c r="V19" s="196" t="s">
        <v>145</v>
      </c>
      <c r="W19" s="66" t="s">
        <v>66</v>
      </c>
      <c r="X19" s="27" t="s">
        <v>112</v>
      </c>
      <c r="Y19" s="27"/>
      <c r="Z19" s="148" t="s">
        <v>122</v>
      </c>
      <c r="AA19" s="180" t="s">
        <v>123</v>
      </c>
      <c r="AB19" s="918"/>
      <c r="AC19" s="915"/>
      <c r="AD19" s="919"/>
      <c r="AE19" s="62"/>
      <c r="AF19" s="62"/>
      <c r="AG19" s="62"/>
      <c r="AH19" s="62"/>
    </row>
    <row r="20" spans="1:34" ht="30" hidden="1" customHeight="1">
      <c r="A20" s="166">
        <f t="shared" si="0"/>
        <v>18</v>
      </c>
      <c r="B20" s="45" t="s">
        <v>146</v>
      </c>
      <c r="C20" s="902" t="s">
        <v>147</v>
      </c>
      <c r="D20" s="148" t="s">
        <v>126</v>
      </c>
      <c r="E20" s="166" t="s">
        <v>127</v>
      </c>
      <c r="F20" s="148" t="s">
        <v>32</v>
      </c>
      <c r="G20" s="148" t="s">
        <v>148</v>
      </c>
      <c r="H20" s="148" t="s">
        <v>32</v>
      </c>
      <c r="I20" s="907">
        <v>14766</v>
      </c>
      <c r="J20" s="908">
        <v>49133.5</v>
      </c>
      <c r="K20" s="909">
        <v>49133.5</v>
      </c>
      <c r="L20" s="148" t="s">
        <v>132</v>
      </c>
      <c r="M20" s="166">
        <v>1995</v>
      </c>
      <c r="N20" s="179" t="s">
        <v>35</v>
      </c>
      <c r="O20" s="54" t="s">
        <v>73</v>
      </c>
      <c r="P20" s="27" t="s">
        <v>74</v>
      </c>
      <c r="Q20" s="197"/>
      <c r="R20" s="190" t="s">
        <v>38</v>
      </c>
      <c r="S20" s="194" t="s">
        <v>53</v>
      </c>
      <c r="T20" s="200" t="s">
        <v>144</v>
      </c>
      <c r="U20" s="195">
        <v>2011</v>
      </c>
      <c r="V20" s="196" t="s">
        <v>145</v>
      </c>
      <c r="W20" s="66" t="s">
        <v>66</v>
      </c>
      <c r="X20" s="27" t="s">
        <v>112</v>
      </c>
      <c r="Y20" s="27"/>
      <c r="Z20" s="148" t="s">
        <v>122</v>
      </c>
      <c r="AA20" s="180" t="s">
        <v>123</v>
      </c>
      <c r="AB20" s="12"/>
      <c r="AC20" s="915"/>
      <c r="AD20" s="1099"/>
      <c r="AE20" s="62"/>
      <c r="AF20" s="62"/>
      <c r="AG20" s="62"/>
      <c r="AH20" s="62"/>
    </row>
    <row r="21" spans="1:34" ht="30" hidden="1" customHeight="1">
      <c r="A21" s="166">
        <f t="shared" si="0"/>
        <v>19</v>
      </c>
      <c r="B21" s="47" t="s">
        <v>149</v>
      </c>
      <c r="C21" s="902" t="s">
        <v>150</v>
      </c>
      <c r="D21" s="148" t="s">
        <v>126</v>
      </c>
      <c r="E21" s="166" t="s">
        <v>127</v>
      </c>
      <c r="F21" s="148" t="s">
        <v>32</v>
      </c>
      <c r="G21" s="148" t="s">
        <v>151</v>
      </c>
      <c r="H21" s="148" t="s">
        <v>32</v>
      </c>
      <c r="I21" s="907">
        <v>19037</v>
      </c>
      <c r="J21" s="908">
        <v>53404.5</v>
      </c>
      <c r="K21" s="909">
        <v>53404.5</v>
      </c>
      <c r="L21" s="148" t="s">
        <v>132</v>
      </c>
      <c r="M21" s="166">
        <v>1995</v>
      </c>
      <c r="N21" s="179" t="s">
        <v>35</v>
      </c>
      <c r="O21" s="54" t="s">
        <v>73</v>
      </c>
      <c r="P21" s="27" t="s">
        <v>74</v>
      </c>
      <c r="Q21" s="197"/>
      <c r="R21" s="190" t="s">
        <v>38</v>
      </c>
      <c r="S21" s="194" t="s">
        <v>53</v>
      </c>
      <c r="T21" s="200" t="s">
        <v>144</v>
      </c>
      <c r="U21" s="195">
        <v>2011</v>
      </c>
      <c r="V21" s="196" t="s">
        <v>145</v>
      </c>
      <c r="W21" s="66" t="s">
        <v>66</v>
      </c>
      <c r="X21" s="27" t="s">
        <v>112</v>
      </c>
      <c r="Y21" s="27"/>
      <c r="Z21" s="148" t="s">
        <v>122</v>
      </c>
      <c r="AA21" s="180" t="s">
        <v>123</v>
      </c>
      <c r="AB21" s="12"/>
      <c r="AC21" s="915"/>
      <c r="AD21" s="1099"/>
      <c r="AE21" s="62"/>
      <c r="AF21" s="62"/>
      <c r="AG21" s="62"/>
      <c r="AH21" s="62"/>
    </row>
    <row r="22" spans="1:34" ht="51.75" hidden="1" customHeight="1">
      <c r="A22" s="166">
        <f t="shared" si="0"/>
        <v>20</v>
      </c>
      <c r="B22" s="45" t="s">
        <v>152</v>
      </c>
      <c r="C22" s="200" t="s">
        <v>153</v>
      </c>
      <c r="D22" s="148" t="s">
        <v>154</v>
      </c>
      <c r="E22" s="166" t="s">
        <v>127</v>
      </c>
      <c r="F22" s="53" t="s">
        <v>155</v>
      </c>
      <c r="G22" s="148" t="s">
        <v>156</v>
      </c>
      <c r="H22" s="148" t="s">
        <v>157</v>
      </c>
      <c r="I22" s="322">
        <v>122900</v>
      </c>
      <c r="J22" s="815">
        <v>122900</v>
      </c>
      <c r="K22" s="816">
        <v>122900</v>
      </c>
      <c r="L22" s="148" t="s">
        <v>158</v>
      </c>
      <c r="M22" s="166">
        <v>1955</v>
      </c>
      <c r="N22" s="179" t="s">
        <v>35</v>
      </c>
      <c r="O22" s="54" t="s">
        <v>73</v>
      </c>
      <c r="P22" s="27" t="s">
        <v>74</v>
      </c>
      <c r="Q22" s="197"/>
      <c r="R22" s="190" t="s">
        <v>38</v>
      </c>
      <c r="S22" s="194" t="s">
        <v>53</v>
      </c>
      <c r="T22" s="200" t="s">
        <v>159</v>
      </c>
      <c r="U22" s="195">
        <v>2007</v>
      </c>
      <c r="V22" s="196" t="s">
        <v>77</v>
      </c>
      <c r="W22" s="66" t="s">
        <v>66</v>
      </c>
      <c r="X22" s="27" t="s">
        <v>112</v>
      </c>
      <c r="Y22" s="27" t="s">
        <v>67</v>
      </c>
      <c r="Z22" s="11" t="s">
        <v>160</v>
      </c>
      <c r="AA22" s="12" t="s">
        <v>69</v>
      </c>
      <c r="AB22" s="11" t="s">
        <v>161</v>
      </c>
      <c r="AC22" s="62"/>
      <c r="AD22" s="62"/>
      <c r="AE22" s="62"/>
      <c r="AF22" s="62"/>
      <c r="AG22" s="62"/>
      <c r="AH22" s="62"/>
    </row>
    <row r="23" spans="1:34" ht="30" hidden="1" customHeight="1">
      <c r="A23" s="166">
        <f t="shared" si="0"/>
        <v>21</v>
      </c>
      <c r="B23" s="47" t="s">
        <v>162</v>
      </c>
      <c r="C23" s="148" t="s">
        <v>163</v>
      </c>
      <c r="D23" s="148" t="s">
        <v>30</v>
      </c>
      <c r="E23" s="166" t="s">
        <v>31</v>
      </c>
      <c r="F23" s="53" t="s">
        <v>164</v>
      </c>
      <c r="G23" s="148" t="s">
        <v>165</v>
      </c>
      <c r="H23" s="148" t="s">
        <v>165</v>
      </c>
      <c r="I23" s="313">
        <v>240</v>
      </c>
      <c r="J23" s="318">
        <v>240</v>
      </c>
      <c r="K23" s="341">
        <v>240</v>
      </c>
      <c r="L23" s="148" t="s">
        <v>166</v>
      </c>
      <c r="M23" s="166">
        <v>1955</v>
      </c>
      <c r="N23" s="179" t="s">
        <v>35</v>
      </c>
      <c r="O23" s="53" t="s">
        <v>167</v>
      </c>
      <c r="P23" s="27" t="s">
        <v>37</v>
      </c>
      <c r="Q23" s="53"/>
      <c r="R23" s="198" t="s">
        <v>89</v>
      </c>
      <c r="S23" s="198" t="s">
        <v>35</v>
      </c>
      <c r="T23" s="148" t="s">
        <v>35</v>
      </c>
      <c r="U23" s="148" t="s">
        <v>35</v>
      </c>
      <c r="V23" s="148" t="s">
        <v>35</v>
      </c>
      <c r="W23" s="204" t="s">
        <v>42</v>
      </c>
      <c r="X23" s="27" t="s">
        <v>112</v>
      </c>
      <c r="Y23" s="27"/>
      <c r="Z23" s="148" t="s">
        <v>168</v>
      </c>
      <c r="AA23" s="12" t="s">
        <v>91</v>
      </c>
      <c r="AB23" s="11" t="s">
        <v>169</v>
      </c>
      <c r="AC23" s="229"/>
      <c r="AD23" s="229"/>
      <c r="AE23" s="915"/>
      <c r="AF23" s="915"/>
      <c r="AG23" s="62"/>
      <c r="AH23" s="62"/>
    </row>
    <row r="24" spans="1:34" ht="30" hidden="1" customHeight="1">
      <c r="A24" s="166">
        <f t="shared" si="0"/>
        <v>22</v>
      </c>
      <c r="B24" s="45" t="s">
        <v>170</v>
      </c>
      <c r="C24" s="168" t="s">
        <v>171</v>
      </c>
      <c r="D24" s="148" t="s">
        <v>30</v>
      </c>
      <c r="E24" s="166" t="s">
        <v>31</v>
      </c>
      <c r="F24" s="148" t="s">
        <v>172</v>
      </c>
      <c r="G24" s="148" t="s">
        <v>173</v>
      </c>
      <c r="H24" s="148" t="s">
        <v>174</v>
      </c>
      <c r="I24" s="313">
        <v>60</v>
      </c>
      <c r="J24" s="340">
        <v>0</v>
      </c>
      <c r="K24" s="341">
        <v>60</v>
      </c>
      <c r="L24" s="148" t="s">
        <v>175</v>
      </c>
      <c r="M24" s="166">
        <v>1955</v>
      </c>
      <c r="N24" s="179" t="s">
        <v>35</v>
      </c>
      <c r="O24" s="54" t="s">
        <v>73</v>
      </c>
      <c r="P24" s="27" t="s">
        <v>74</v>
      </c>
      <c r="Q24" s="197"/>
      <c r="R24" s="198" t="s">
        <v>89</v>
      </c>
      <c r="S24" s="198" t="s">
        <v>35</v>
      </c>
      <c r="T24" s="148" t="s">
        <v>35</v>
      </c>
      <c r="U24" s="148" t="s">
        <v>35</v>
      </c>
      <c r="V24" s="148" t="s">
        <v>35</v>
      </c>
      <c r="W24" s="204" t="s">
        <v>42</v>
      </c>
      <c r="X24" s="27" t="s">
        <v>176</v>
      </c>
      <c r="Y24" s="27"/>
      <c r="Z24" s="148" t="s">
        <v>168</v>
      </c>
      <c r="AA24" s="12" t="s">
        <v>91</v>
      </c>
      <c r="AB24" s="11" t="s">
        <v>177</v>
      </c>
      <c r="AC24" s="229"/>
      <c r="AD24" s="229"/>
      <c r="AE24" s="915"/>
      <c r="AF24" s="1100"/>
      <c r="AG24" s="62"/>
      <c r="AH24" s="62"/>
    </row>
    <row r="25" spans="1:34" ht="30" hidden="1" customHeight="1">
      <c r="A25" s="166">
        <f t="shared" si="0"/>
        <v>23</v>
      </c>
      <c r="B25" s="47" t="s">
        <v>178</v>
      </c>
      <c r="C25" s="148" t="s">
        <v>179</v>
      </c>
      <c r="D25" s="148" t="s">
        <v>30</v>
      </c>
      <c r="E25" s="166" t="s">
        <v>31</v>
      </c>
      <c r="F25" s="148" t="s">
        <v>180</v>
      </c>
      <c r="G25" s="148" t="s">
        <v>181</v>
      </c>
      <c r="H25" s="148" t="s">
        <v>182</v>
      </c>
      <c r="I25" s="313">
        <v>11</v>
      </c>
      <c r="J25" s="318">
        <v>11</v>
      </c>
      <c r="K25" s="341">
        <v>11</v>
      </c>
      <c r="L25" s="148" t="s">
        <v>175</v>
      </c>
      <c r="M25" s="166">
        <v>1955</v>
      </c>
      <c r="N25" s="179" t="s">
        <v>35</v>
      </c>
      <c r="O25" s="53" t="s">
        <v>183</v>
      </c>
      <c r="P25" s="27" t="s">
        <v>37</v>
      </c>
      <c r="Q25" s="53"/>
      <c r="R25" s="198" t="s">
        <v>89</v>
      </c>
      <c r="S25" s="198" t="s">
        <v>35</v>
      </c>
      <c r="T25" s="148" t="s">
        <v>35</v>
      </c>
      <c r="U25" s="148" t="s">
        <v>35</v>
      </c>
      <c r="V25" s="148" t="s">
        <v>35</v>
      </c>
      <c r="W25" s="204" t="s">
        <v>42</v>
      </c>
      <c r="X25" s="27" t="s">
        <v>112</v>
      </c>
      <c r="Y25" s="27" t="s">
        <v>67</v>
      </c>
      <c r="Z25" s="148" t="s">
        <v>184</v>
      </c>
      <c r="AA25" s="12" t="s">
        <v>91</v>
      </c>
      <c r="AB25" s="11" t="s">
        <v>185</v>
      </c>
      <c r="AC25" s="229"/>
      <c r="AD25" s="229"/>
      <c r="AE25" s="915"/>
      <c r="AF25" s="1100"/>
      <c r="AG25" s="62"/>
      <c r="AH25" s="62"/>
    </row>
    <row r="26" spans="1:34" ht="47.25" hidden="1" customHeight="1">
      <c r="A26" s="166">
        <f t="shared" si="0"/>
        <v>24</v>
      </c>
      <c r="B26" s="45" t="s">
        <v>186</v>
      </c>
      <c r="C26" s="170" t="s">
        <v>187</v>
      </c>
      <c r="D26" s="148" t="s">
        <v>30</v>
      </c>
      <c r="E26" s="166" t="s">
        <v>31</v>
      </c>
      <c r="F26" s="148" t="s">
        <v>188</v>
      </c>
      <c r="G26" s="148" t="s">
        <v>189</v>
      </c>
      <c r="H26" s="148" t="s">
        <v>190</v>
      </c>
      <c r="I26" s="313">
        <v>73</v>
      </c>
      <c r="J26" s="315">
        <v>73</v>
      </c>
      <c r="K26" s="341">
        <v>73</v>
      </c>
      <c r="L26" s="148" t="s">
        <v>175</v>
      </c>
      <c r="M26" s="166">
        <v>1955</v>
      </c>
      <c r="N26" s="179" t="s">
        <v>35</v>
      </c>
      <c r="O26" s="52" t="s">
        <v>191</v>
      </c>
      <c r="P26" s="27" t="s">
        <v>37</v>
      </c>
      <c r="Q26" s="53"/>
      <c r="R26" s="198" t="s">
        <v>89</v>
      </c>
      <c r="S26" s="199" t="s">
        <v>90</v>
      </c>
      <c r="T26" s="148" t="s">
        <v>35</v>
      </c>
      <c r="U26" s="148" t="s">
        <v>35</v>
      </c>
      <c r="V26" s="148" t="s">
        <v>35</v>
      </c>
      <c r="W26" s="204" t="s">
        <v>192</v>
      </c>
      <c r="X26" s="27" t="s">
        <v>112</v>
      </c>
      <c r="Y26" s="27" t="s">
        <v>67</v>
      </c>
      <c r="Z26" s="148" t="s">
        <v>168</v>
      </c>
      <c r="AA26" s="12" t="s">
        <v>91</v>
      </c>
      <c r="AB26" s="11" t="s">
        <v>193</v>
      </c>
      <c r="AC26" s="62"/>
      <c r="AD26" s="62"/>
      <c r="AE26" s="62"/>
      <c r="AF26" s="229"/>
      <c r="AG26" s="62"/>
      <c r="AH26" s="62"/>
    </row>
    <row r="27" spans="1:34" ht="30" hidden="1" customHeight="1">
      <c r="A27" s="166">
        <f t="shared" si="0"/>
        <v>25</v>
      </c>
      <c r="B27" s="47" t="s">
        <v>194</v>
      </c>
      <c r="C27" s="148" t="s">
        <v>195</v>
      </c>
      <c r="D27" s="148" t="s">
        <v>30</v>
      </c>
      <c r="E27" s="166" t="s">
        <v>31</v>
      </c>
      <c r="F27" s="53" t="s">
        <v>155</v>
      </c>
      <c r="G27" s="148" t="s">
        <v>196</v>
      </c>
      <c r="H27" s="148" t="s">
        <v>197</v>
      </c>
      <c r="I27" s="313">
        <v>15</v>
      </c>
      <c r="J27" s="318">
        <v>15</v>
      </c>
      <c r="K27" s="341">
        <v>15</v>
      </c>
      <c r="L27" s="148" t="s">
        <v>175</v>
      </c>
      <c r="M27" s="166">
        <v>1955</v>
      </c>
      <c r="N27" s="179" t="s">
        <v>35</v>
      </c>
      <c r="O27" s="54" t="s">
        <v>73</v>
      </c>
      <c r="P27" s="27" t="s">
        <v>74</v>
      </c>
      <c r="Q27" s="197"/>
      <c r="R27" s="198" t="s">
        <v>89</v>
      </c>
      <c r="S27" s="198" t="s">
        <v>35</v>
      </c>
      <c r="T27" s="148" t="s">
        <v>35</v>
      </c>
      <c r="U27" s="148" t="s">
        <v>35</v>
      </c>
      <c r="V27" s="148" t="s">
        <v>35</v>
      </c>
      <c r="W27" s="204" t="s">
        <v>42</v>
      </c>
      <c r="X27" s="27" t="s">
        <v>112</v>
      </c>
      <c r="Y27" s="27" t="s">
        <v>67</v>
      </c>
      <c r="Z27" s="148" t="s">
        <v>168</v>
      </c>
      <c r="AA27" s="12" t="s">
        <v>91</v>
      </c>
      <c r="AB27" s="11" t="s">
        <v>198</v>
      </c>
      <c r="AC27" s="62"/>
      <c r="AD27" s="62"/>
      <c r="AE27" s="915"/>
      <c r="AF27" s="62"/>
      <c r="AG27" s="229"/>
      <c r="AH27" s="62"/>
    </row>
    <row r="28" spans="1:34" ht="44.25" hidden="1" customHeight="1">
      <c r="A28" s="166">
        <f t="shared" si="0"/>
        <v>26</v>
      </c>
      <c r="B28" s="45" t="s">
        <v>199</v>
      </c>
      <c r="C28" s="200" t="s">
        <v>200</v>
      </c>
      <c r="D28" s="148" t="s">
        <v>30</v>
      </c>
      <c r="E28" s="166" t="s">
        <v>31</v>
      </c>
      <c r="F28" s="148" t="s">
        <v>201</v>
      </c>
      <c r="G28" s="148" t="s">
        <v>202</v>
      </c>
      <c r="H28" s="148" t="s">
        <v>203</v>
      </c>
      <c r="I28" s="313">
        <v>491</v>
      </c>
      <c r="J28" s="318">
        <v>491</v>
      </c>
      <c r="K28" s="341">
        <v>491</v>
      </c>
      <c r="L28" s="148" t="s">
        <v>204</v>
      </c>
      <c r="M28" s="166">
        <v>1955</v>
      </c>
      <c r="N28" s="179" t="s">
        <v>35</v>
      </c>
      <c r="O28" s="48" t="s">
        <v>205</v>
      </c>
      <c r="P28" s="27" t="s">
        <v>37</v>
      </c>
      <c r="Q28" s="53"/>
      <c r="R28" s="190" t="s">
        <v>38</v>
      </c>
      <c r="S28" s="194" t="s">
        <v>53</v>
      </c>
      <c r="T28" s="200" t="s">
        <v>206</v>
      </c>
      <c r="U28" s="195">
        <v>2006</v>
      </c>
      <c r="V28" s="196" t="s">
        <v>65</v>
      </c>
      <c r="W28" s="66" t="s">
        <v>42</v>
      </c>
      <c r="X28" s="27" t="s">
        <v>112</v>
      </c>
      <c r="Y28" s="27" t="s">
        <v>67</v>
      </c>
      <c r="Z28" s="11" t="s">
        <v>69</v>
      </c>
      <c r="AA28" s="12" t="s">
        <v>69</v>
      </c>
      <c r="AB28" s="11" t="s">
        <v>207</v>
      </c>
      <c r="AC28" s="62"/>
      <c r="AD28" s="62"/>
      <c r="AE28" s="915"/>
      <c r="AF28" s="62"/>
      <c r="AG28" s="229"/>
      <c r="AH28" s="62"/>
    </row>
    <row r="29" spans="1:34" ht="30" hidden="1" customHeight="1">
      <c r="A29" s="166">
        <f t="shared" si="0"/>
        <v>27</v>
      </c>
      <c r="B29" s="47" t="s">
        <v>208</v>
      </c>
      <c r="C29" s="200" t="s">
        <v>209</v>
      </c>
      <c r="D29" s="148" t="s">
        <v>30</v>
      </c>
      <c r="E29" s="166" t="s">
        <v>31</v>
      </c>
      <c r="F29" s="148" t="s">
        <v>210</v>
      </c>
      <c r="G29" s="148" t="s">
        <v>211</v>
      </c>
      <c r="H29" s="148" t="s">
        <v>212</v>
      </c>
      <c r="I29" s="313">
        <v>13000</v>
      </c>
      <c r="J29" s="315">
        <v>13000</v>
      </c>
      <c r="K29" s="817">
        <v>13000</v>
      </c>
      <c r="L29" s="148" t="s">
        <v>213</v>
      </c>
      <c r="M29" s="166">
        <v>1955</v>
      </c>
      <c r="N29" s="179" t="s">
        <v>35</v>
      </c>
      <c r="O29" s="54" t="s">
        <v>73</v>
      </c>
      <c r="P29" s="27" t="s">
        <v>74</v>
      </c>
      <c r="Q29" s="197"/>
      <c r="R29" s="190" t="s">
        <v>38</v>
      </c>
      <c r="S29" s="201" t="s">
        <v>100</v>
      </c>
      <c r="T29" s="200" t="s">
        <v>214</v>
      </c>
      <c r="U29" s="195">
        <v>2005</v>
      </c>
      <c r="V29" s="196" t="s">
        <v>215</v>
      </c>
      <c r="W29" s="66" t="s">
        <v>42</v>
      </c>
      <c r="X29" s="27" t="s">
        <v>112</v>
      </c>
      <c r="Y29" s="27" t="s">
        <v>67</v>
      </c>
      <c r="Z29" s="148" t="s">
        <v>216</v>
      </c>
      <c r="AA29" s="166" t="s">
        <v>217</v>
      </c>
      <c r="AB29" s="148" t="s">
        <v>218</v>
      </c>
      <c r="AC29" s="62"/>
      <c r="AD29" s="62"/>
      <c r="AE29" s="62"/>
      <c r="AF29" s="62"/>
      <c r="AG29" s="229"/>
      <c r="AH29" s="62"/>
    </row>
    <row r="30" spans="1:34" ht="30" hidden="1" customHeight="1">
      <c r="A30" s="166">
        <f t="shared" si="0"/>
        <v>28</v>
      </c>
      <c r="B30" s="45" t="s">
        <v>219</v>
      </c>
      <c r="C30" s="148" t="s">
        <v>220</v>
      </c>
      <c r="D30" s="148" t="s">
        <v>30</v>
      </c>
      <c r="E30" s="166" t="s">
        <v>31</v>
      </c>
      <c r="F30" s="53" t="s">
        <v>164</v>
      </c>
      <c r="G30" s="148" t="s">
        <v>221</v>
      </c>
      <c r="H30" s="148" t="s">
        <v>222</v>
      </c>
      <c r="I30" s="313">
        <v>0.48</v>
      </c>
      <c r="J30" s="318">
        <v>0.48</v>
      </c>
      <c r="K30" s="818">
        <v>0.48</v>
      </c>
      <c r="L30" s="148" t="s">
        <v>223</v>
      </c>
      <c r="M30" s="166">
        <v>1955</v>
      </c>
      <c r="N30" s="179" t="s">
        <v>35</v>
      </c>
      <c r="O30" s="54" t="s">
        <v>73</v>
      </c>
      <c r="P30" s="27" t="s">
        <v>74</v>
      </c>
      <c r="Q30" s="197"/>
      <c r="R30" s="198" t="s">
        <v>89</v>
      </c>
      <c r="S30" s="198" t="s">
        <v>35</v>
      </c>
      <c r="T30" s="148" t="s">
        <v>35</v>
      </c>
      <c r="U30" s="148" t="s">
        <v>35</v>
      </c>
      <c r="V30" s="148" t="s">
        <v>35</v>
      </c>
      <c r="W30" s="204" t="s">
        <v>42</v>
      </c>
      <c r="X30" s="27" t="s">
        <v>112</v>
      </c>
      <c r="Y30" s="27"/>
      <c r="Z30" s="148" t="s">
        <v>224</v>
      </c>
      <c r="AA30" s="12" t="s">
        <v>91</v>
      </c>
      <c r="AB30" s="11" t="s">
        <v>185</v>
      </c>
      <c r="AC30" s="62"/>
      <c r="AD30" s="62"/>
      <c r="AE30" s="229"/>
      <c r="AF30" s="62"/>
      <c r="AG30" s="62"/>
      <c r="AH30" s="62"/>
    </row>
    <row r="31" spans="1:34" ht="43.5" hidden="1" customHeight="1">
      <c r="A31" s="166">
        <f t="shared" si="0"/>
        <v>29</v>
      </c>
      <c r="B31" s="47" t="s">
        <v>225</v>
      </c>
      <c r="C31" s="148" t="s">
        <v>226</v>
      </c>
      <c r="D31" s="148" t="s">
        <v>227</v>
      </c>
      <c r="E31" s="148" t="s">
        <v>228</v>
      </c>
      <c r="F31" s="148" t="s">
        <v>210</v>
      </c>
      <c r="G31" s="148" t="s">
        <v>229</v>
      </c>
      <c r="H31" s="148" t="s">
        <v>212</v>
      </c>
      <c r="I31" s="313">
        <v>311.25900000000001</v>
      </c>
      <c r="J31" s="318">
        <v>311.25900000000001</v>
      </c>
      <c r="K31" s="819">
        <v>311.25900000000001</v>
      </c>
      <c r="L31" s="148" t="s">
        <v>230</v>
      </c>
      <c r="M31" s="166">
        <v>1956</v>
      </c>
      <c r="N31" s="179" t="s">
        <v>35</v>
      </c>
      <c r="O31" s="54" t="s">
        <v>73</v>
      </c>
      <c r="P31" s="27" t="s">
        <v>74</v>
      </c>
      <c r="Q31" s="197"/>
      <c r="R31" s="198" t="s">
        <v>89</v>
      </c>
      <c r="S31" s="198" t="s">
        <v>35</v>
      </c>
      <c r="T31" s="148" t="s">
        <v>35</v>
      </c>
      <c r="U31" s="148" t="s">
        <v>35</v>
      </c>
      <c r="V31" s="148" t="s">
        <v>35</v>
      </c>
      <c r="W31" s="204" t="s">
        <v>42</v>
      </c>
      <c r="X31" s="27" t="s">
        <v>112</v>
      </c>
      <c r="Y31" s="27"/>
      <c r="Z31" s="148" t="s">
        <v>231</v>
      </c>
      <c r="AA31" s="12" t="s">
        <v>91</v>
      </c>
      <c r="AB31" s="148" t="s">
        <v>232</v>
      </c>
      <c r="AC31" s="62"/>
      <c r="AD31" s="62"/>
      <c r="AE31" s="62"/>
      <c r="AF31" s="62"/>
      <c r="AG31" s="62"/>
      <c r="AH31" s="62"/>
    </row>
    <row r="32" spans="1:34" ht="30" hidden="1" customHeight="1">
      <c r="A32" s="166">
        <f t="shared" si="0"/>
        <v>30</v>
      </c>
      <c r="B32" s="45" t="s">
        <v>233</v>
      </c>
      <c r="C32" s="148" t="s">
        <v>234</v>
      </c>
      <c r="D32" s="148" t="s">
        <v>30</v>
      </c>
      <c r="E32" s="166" t="s">
        <v>31</v>
      </c>
      <c r="F32" s="148" t="s">
        <v>172</v>
      </c>
      <c r="G32" s="148" t="s">
        <v>235</v>
      </c>
      <c r="H32" s="148" t="s">
        <v>235</v>
      </c>
      <c r="I32" s="313">
        <v>902</v>
      </c>
      <c r="J32" s="318">
        <v>902</v>
      </c>
      <c r="K32" s="819">
        <v>902</v>
      </c>
      <c r="L32" s="148" t="s">
        <v>236</v>
      </c>
      <c r="M32" s="166">
        <v>1956</v>
      </c>
      <c r="N32" s="179" t="s">
        <v>35</v>
      </c>
      <c r="O32" s="54" t="s">
        <v>73</v>
      </c>
      <c r="P32" s="27" t="s">
        <v>74</v>
      </c>
      <c r="Q32" s="197"/>
      <c r="R32" s="198" t="s">
        <v>89</v>
      </c>
      <c r="S32" s="198" t="s">
        <v>35</v>
      </c>
      <c r="T32" s="148" t="s">
        <v>35</v>
      </c>
      <c r="U32" s="148" t="s">
        <v>35</v>
      </c>
      <c r="V32" s="148" t="s">
        <v>35</v>
      </c>
      <c r="W32" s="204" t="s">
        <v>42</v>
      </c>
      <c r="X32" s="27" t="s">
        <v>112</v>
      </c>
      <c r="Y32" s="27"/>
      <c r="Z32" s="148" t="s">
        <v>168</v>
      </c>
      <c r="AA32" s="12" t="s">
        <v>91</v>
      </c>
      <c r="AB32" s="148" t="s">
        <v>237</v>
      </c>
    </row>
    <row r="33" spans="1:28" ht="30" hidden="1" customHeight="1">
      <c r="A33" s="166">
        <f t="shared" si="0"/>
        <v>31</v>
      </c>
      <c r="B33" s="47" t="s">
        <v>238</v>
      </c>
      <c r="C33" s="148" t="s">
        <v>239</v>
      </c>
      <c r="D33" s="148" t="s">
        <v>227</v>
      </c>
      <c r="E33" s="148" t="s">
        <v>228</v>
      </c>
      <c r="F33" s="148" t="s">
        <v>172</v>
      </c>
      <c r="G33" s="148" t="s">
        <v>240</v>
      </c>
      <c r="H33" s="148" t="s">
        <v>235</v>
      </c>
      <c r="I33" s="313">
        <v>4061</v>
      </c>
      <c r="J33" s="340">
        <v>0</v>
      </c>
      <c r="K33" s="341">
        <v>4061</v>
      </c>
      <c r="L33" s="148" t="s">
        <v>236</v>
      </c>
      <c r="M33" s="166">
        <v>1956</v>
      </c>
      <c r="N33" s="179" t="s">
        <v>35</v>
      </c>
      <c r="O33" s="54" t="s">
        <v>73</v>
      </c>
      <c r="P33" s="27" t="s">
        <v>74</v>
      </c>
      <c r="Q33" s="197"/>
      <c r="R33" s="198" t="s">
        <v>89</v>
      </c>
      <c r="S33" s="198" t="s">
        <v>35</v>
      </c>
      <c r="T33" s="148" t="s">
        <v>35</v>
      </c>
      <c r="U33" s="148" t="s">
        <v>35</v>
      </c>
      <c r="V33" s="148" t="s">
        <v>35</v>
      </c>
      <c r="W33" s="204" t="s">
        <v>42</v>
      </c>
      <c r="X33" s="27" t="s">
        <v>176</v>
      </c>
      <c r="Y33" s="27"/>
      <c r="Z33" s="148" t="s">
        <v>168</v>
      </c>
      <c r="AA33" s="12" t="s">
        <v>91</v>
      </c>
      <c r="AB33" s="148" t="s">
        <v>241</v>
      </c>
    </row>
    <row r="34" spans="1:28" ht="70.5" customHeight="1">
      <c r="A34" s="166">
        <f t="shared" si="0"/>
        <v>32</v>
      </c>
      <c r="B34" s="45" t="s">
        <v>242</v>
      </c>
      <c r="C34" s="148" t="s">
        <v>243</v>
      </c>
      <c r="D34" s="204" t="s">
        <v>227</v>
      </c>
      <c r="E34" s="148" t="s">
        <v>228</v>
      </c>
      <c r="F34" s="148" t="s">
        <v>201</v>
      </c>
      <c r="G34" s="148" t="s">
        <v>244</v>
      </c>
      <c r="H34" s="148" t="s">
        <v>245</v>
      </c>
      <c r="I34" s="313">
        <v>5265.92</v>
      </c>
      <c r="J34" s="318">
        <v>5265.92</v>
      </c>
      <c r="K34" s="341">
        <v>5265.92</v>
      </c>
      <c r="L34" s="148" t="s">
        <v>246</v>
      </c>
      <c r="M34" s="166">
        <v>1956</v>
      </c>
      <c r="N34" s="179" t="s">
        <v>35</v>
      </c>
      <c r="O34" s="54" t="s">
        <v>73</v>
      </c>
      <c r="P34" s="27" t="s">
        <v>74</v>
      </c>
      <c r="Q34" s="197"/>
      <c r="R34" s="198" t="s">
        <v>89</v>
      </c>
      <c r="S34" s="198" t="s">
        <v>35</v>
      </c>
      <c r="T34" s="148" t="s">
        <v>35</v>
      </c>
      <c r="U34" s="148" t="s">
        <v>35</v>
      </c>
      <c r="V34" s="148" t="s">
        <v>35</v>
      </c>
      <c r="W34" s="204" t="s">
        <v>42</v>
      </c>
      <c r="X34" s="27" t="s">
        <v>112</v>
      </c>
      <c r="Y34" s="27"/>
      <c r="Z34" s="920" t="s">
        <v>247</v>
      </c>
      <c r="AA34" s="12" t="s">
        <v>91</v>
      </c>
      <c r="AB34" s="148" t="s">
        <v>248</v>
      </c>
    </row>
    <row r="35" spans="1:28" ht="63.75" customHeight="1">
      <c r="A35" s="166">
        <f t="shared" si="0"/>
        <v>33</v>
      </c>
      <c r="B35" s="47" t="s">
        <v>249</v>
      </c>
      <c r="C35" s="148" t="s">
        <v>250</v>
      </c>
      <c r="D35" s="204" t="s">
        <v>227</v>
      </c>
      <c r="E35" s="148" t="s">
        <v>228</v>
      </c>
      <c r="F35" s="148" t="s">
        <v>201</v>
      </c>
      <c r="G35" s="148" t="s">
        <v>251</v>
      </c>
      <c r="H35" s="148" t="s">
        <v>252</v>
      </c>
      <c r="I35" s="313">
        <v>5436.93</v>
      </c>
      <c r="J35" s="318">
        <v>5436.93</v>
      </c>
      <c r="K35" s="341">
        <v>5436.93</v>
      </c>
      <c r="L35" s="148" t="s">
        <v>246</v>
      </c>
      <c r="M35" s="166">
        <v>1956</v>
      </c>
      <c r="N35" s="179" t="s">
        <v>35</v>
      </c>
      <c r="O35" s="54" t="s">
        <v>73</v>
      </c>
      <c r="P35" s="27" t="s">
        <v>74</v>
      </c>
      <c r="Q35" s="197"/>
      <c r="R35" s="198" t="s">
        <v>89</v>
      </c>
      <c r="S35" s="198" t="s">
        <v>35</v>
      </c>
      <c r="T35" s="148" t="s">
        <v>35</v>
      </c>
      <c r="U35" s="148" t="s">
        <v>35</v>
      </c>
      <c r="V35" s="148" t="s">
        <v>35</v>
      </c>
      <c r="W35" s="204" t="s">
        <v>42</v>
      </c>
      <c r="X35" s="27" t="s">
        <v>112</v>
      </c>
      <c r="Y35" s="27" t="s">
        <v>67</v>
      </c>
      <c r="Z35" s="148" t="s">
        <v>253</v>
      </c>
      <c r="AA35" s="12" t="s">
        <v>91</v>
      </c>
      <c r="AB35" s="148" t="s">
        <v>248</v>
      </c>
    </row>
    <row r="36" spans="1:28" ht="37.5" hidden="1" customHeight="1">
      <c r="A36" s="166">
        <f t="shared" si="0"/>
        <v>34</v>
      </c>
      <c r="B36" s="45" t="s">
        <v>254</v>
      </c>
      <c r="C36" s="148" t="s">
        <v>255</v>
      </c>
      <c r="D36" s="204" t="s">
        <v>227</v>
      </c>
      <c r="E36" s="148" t="s">
        <v>228</v>
      </c>
      <c r="F36" s="148" t="s">
        <v>188</v>
      </c>
      <c r="G36" s="148" t="s">
        <v>256</v>
      </c>
      <c r="H36" s="148" t="s">
        <v>257</v>
      </c>
      <c r="I36" s="313">
        <v>683.19</v>
      </c>
      <c r="J36" s="318">
        <v>683.19</v>
      </c>
      <c r="K36" s="341">
        <v>683.19</v>
      </c>
      <c r="L36" s="148" t="s">
        <v>246</v>
      </c>
      <c r="M36" s="166">
        <v>1956</v>
      </c>
      <c r="N36" s="179" t="s">
        <v>35</v>
      </c>
      <c r="O36" s="54" t="s">
        <v>73</v>
      </c>
      <c r="P36" s="27" t="s">
        <v>74</v>
      </c>
      <c r="Q36" s="197"/>
      <c r="R36" s="198" t="s">
        <v>89</v>
      </c>
      <c r="S36" s="198" t="s">
        <v>35</v>
      </c>
      <c r="T36" s="148" t="s">
        <v>35</v>
      </c>
      <c r="U36" s="148" t="s">
        <v>35</v>
      </c>
      <c r="V36" s="148" t="s">
        <v>35</v>
      </c>
      <c r="W36" s="204" t="s">
        <v>42</v>
      </c>
      <c r="X36" s="27" t="s">
        <v>112</v>
      </c>
      <c r="Y36" s="27"/>
      <c r="Z36" s="148" t="s">
        <v>258</v>
      </c>
      <c r="AA36" s="12" t="s">
        <v>91</v>
      </c>
      <c r="AB36" s="148" t="s">
        <v>248</v>
      </c>
    </row>
    <row r="37" spans="1:28" ht="37.5" hidden="1" customHeight="1">
      <c r="A37" s="166">
        <f t="shared" si="0"/>
        <v>35</v>
      </c>
      <c r="B37" s="47" t="s">
        <v>259</v>
      </c>
      <c r="C37" s="148" t="s">
        <v>260</v>
      </c>
      <c r="D37" s="204" t="s">
        <v>227</v>
      </c>
      <c r="E37" s="148" t="s">
        <v>228</v>
      </c>
      <c r="F37" s="148" t="s">
        <v>188</v>
      </c>
      <c r="G37" s="148" t="s">
        <v>261</v>
      </c>
      <c r="H37" s="148" t="s">
        <v>262</v>
      </c>
      <c r="I37" s="313">
        <v>524.01</v>
      </c>
      <c r="J37" s="318">
        <v>524.01</v>
      </c>
      <c r="K37" s="341">
        <v>524.01</v>
      </c>
      <c r="L37" s="148" t="s">
        <v>246</v>
      </c>
      <c r="M37" s="166">
        <v>1956</v>
      </c>
      <c r="N37" s="179" t="s">
        <v>35</v>
      </c>
      <c r="O37" s="54" t="s">
        <v>73</v>
      </c>
      <c r="P37" s="27" t="s">
        <v>74</v>
      </c>
      <c r="Q37" s="197"/>
      <c r="R37" s="198" t="s">
        <v>89</v>
      </c>
      <c r="S37" s="198" t="s">
        <v>35</v>
      </c>
      <c r="T37" s="148" t="s">
        <v>35</v>
      </c>
      <c r="U37" s="148" t="s">
        <v>35</v>
      </c>
      <c r="V37" s="148" t="s">
        <v>35</v>
      </c>
      <c r="W37" s="204" t="s">
        <v>42</v>
      </c>
      <c r="X37" s="27" t="s">
        <v>112</v>
      </c>
      <c r="Y37" s="27"/>
      <c r="Z37" s="148" t="s">
        <v>263</v>
      </c>
      <c r="AA37" s="12" t="s">
        <v>91</v>
      </c>
      <c r="AB37" s="148" t="s">
        <v>248</v>
      </c>
    </row>
    <row r="38" spans="1:28" ht="37.5" hidden="1" customHeight="1">
      <c r="A38" s="166">
        <f t="shared" si="0"/>
        <v>36</v>
      </c>
      <c r="B38" s="47" t="s">
        <v>264</v>
      </c>
      <c r="C38" s="148" t="s">
        <v>265</v>
      </c>
      <c r="D38" s="204" t="s">
        <v>227</v>
      </c>
      <c r="E38" s="148" t="s">
        <v>228</v>
      </c>
      <c r="F38" s="53" t="s">
        <v>164</v>
      </c>
      <c r="G38" s="148" t="s">
        <v>165</v>
      </c>
      <c r="H38" s="148" t="s">
        <v>165</v>
      </c>
      <c r="I38" s="313">
        <v>1101.26</v>
      </c>
      <c r="J38" s="340">
        <v>0</v>
      </c>
      <c r="K38" s="341">
        <v>1101.26</v>
      </c>
      <c r="L38" s="148" t="s">
        <v>246</v>
      </c>
      <c r="M38" s="166">
        <v>1956</v>
      </c>
      <c r="N38" s="179" t="s">
        <v>35</v>
      </c>
      <c r="O38" s="54" t="s">
        <v>73</v>
      </c>
      <c r="P38" s="27" t="s">
        <v>74</v>
      </c>
      <c r="Q38" s="197"/>
      <c r="R38" s="198" t="s">
        <v>89</v>
      </c>
      <c r="S38" s="198" t="s">
        <v>35</v>
      </c>
      <c r="T38" s="148" t="s">
        <v>35</v>
      </c>
      <c r="U38" s="148" t="s">
        <v>35</v>
      </c>
      <c r="V38" s="148" t="s">
        <v>35</v>
      </c>
      <c r="W38" s="204" t="s">
        <v>42</v>
      </c>
      <c r="X38" s="27" t="s">
        <v>266</v>
      </c>
      <c r="Y38" s="27"/>
      <c r="Z38" s="148" t="s">
        <v>267</v>
      </c>
      <c r="AA38" s="12" t="s">
        <v>91</v>
      </c>
      <c r="AB38" s="148" t="s">
        <v>248</v>
      </c>
    </row>
    <row r="39" spans="1:28" ht="37.5" hidden="1" customHeight="1">
      <c r="A39" s="166">
        <f t="shared" si="0"/>
        <v>37</v>
      </c>
      <c r="B39" s="45" t="s">
        <v>268</v>
      </c>
      <c r="C39" s="148" t="s">
        <v>269</v>
      </c>
      <c r="D39" s="204" t="s">
        <v>227</v>
      </c>
      <c r="E39" s="148" t="s">
        <v>228</v>
      </c>
      <c r="F39" s="148" t="s">
        <v>188</v>
      </c>
      <c r="G39" s="148" t="s">
        <v>270</v>
      </c>
      <c r="H39" s="148" t="s">
        <v>190</v>
      </c>
      <c r="I39" s="313">
        <v>48.18</v>
      </c>
      <c r="J39" s="318">
        <v>48.18</v>
      </c>
      <c r="K39" s="341">
        <v>48.18</v>
      </c>
      <c r="L39" s="148" t="s">
        <v>246</v>
      </c>
      <c r="M39" s="166">
        <v>1956</v>
      </c>
      <c r="N39" s="179" t="s">
        <v>35</v>
      </c>
      <c r="O39" s="54" t="s">
        <v>73</v>
      </c>
      <c r="P39" s="27" t="s">
        <v>74</v>
      </c>
      <c r="Q39" s="197"/>
      <c r="R39" s="198" t="s">
        <v>89</v>
      </c>
      <c r="S39" s="198" t="s">
        <v>35</v>
      </c>
      <c r="T39" s="148" t="s">
        <v>35</v>
      </c>
      <c r="U39" s="148" t="s">
        <v>35</v>
      </c>
      <c r="V39" s="148" t="s">
        <v>35</v>
      </c>
      <c r="W39" s="204" t="s">
        <v>42</v>
      </c>
      <c r="X39" s="27" t="s">
        <v>112</v>
      </c>
      <c r="Y39" s="27"/>
      <c r="Z39" s="148" t="s">
        <v>271</v>
      </c>
      <c r="AA39" s="12" t="s">
        <v>91</v>
      </c>
      <c r="AB39" s="148" t="s">
        <v>248</v>
      </c>
    </row>
    <row r="40" spans="1:28" ht="37.5" hidden="1" customHeight="1">
      <c r="A40" s="166">
        <f t="shared" si="0"/>
        <v>38</v>
      </c>
      <c r="B40" s="47" t="s">
        <v>272</v>
      </c>
      <c r="C40" s="903" t="s">
        <v>273</v>
      </c>
      <c r="D40" s="204" t="s">
        <v>227</v>
      </c>
      <c r="E40" s="148" t="s">
        <v>228</v>
      </c>
      <c r="F40" s="53" t="s">
        <v>164</v>
      </c>
      <c r="G40" s="148" t="s">
        <v>274</v>
      </c>
      <c r="H40" s="148" t="s">
        <v>165</v>
      </c>
      <c r="I40" s="313">
        <v>934.52</v>
      </c>
      <c r="J40" s="318">
        <v>934.52</v>
      </c>
      <c r="K40" s="341">
        <v>934.52</v>
      </c>
      <c r="L40" s="148" t="s">
        <v>246</v>
      </c>
      <c r="M40" s="166">
        <v>1956</v>
      </c>
      <c r="N40" s="179" t="s">
        <v>35</v>
      </c>
      <c r="O40" s="54" t="s">
        <v>73</v>
      </c>
      <c r="P40" s="27" t="s">
        <v>37</v>
      </c>
      <c r="Q40" s="168" t="s">
        <v>275</v>
      </c>
      <c r="R40" s="194" t="s">
        <v>38</v>
      </c>
      <c r="S40" s="205" t="s">
        <v>276</v>
      </c>
      <c r="T40" s="148" t="s">
        <v>277</v>
      </c>
      <c r="U40" s="194">
        <v>2016</v>
      </c>
      <c r="V40" s="194" t="s">
        <v>278</v>
      </c>
      <c r="W40" s="204" t="s">
        <v>279</v>
      </c>
      <c r="X40" s="27" t="s">
        <v>112</v>
      </c>
      <c r="Y40" s="27"/>
      <c r="Z40" s="148" t="s">
        <v>280</v>
      </c>
      <c r="AA40" s="12" t="s">
        <v>91</v>
      </c>
      <c r="AB40" s="148" t="s">
        <v>248</v>
      </c>
    </row>
    <row r="41" spans="1:28" ht="37.5" hidden="1" customHeight="1">
      <c r="A41" s="166">
        <v>0</v>
      </c>
      <c r="B41" s="45" t="s">
        <v>281</v>
      </c>
      <c r="C41" s="148" t="s">
        <v>282</v>
      </c>
      <c r="D41" s="204" t="s">
        <v>227</v>
      </c>
      <c r="E41" s="148" t="s">
        <v>228</v>
      </c>
      <c r="F41" s="148" t="s">
        <v>188</v>
      </c>
      <c r="G41" s="148" t="s">
        <v>283</v>
      </c>
      <c r="H41" s="148" t="s">
        <v>262</v>
      </c>
      <c r="I41" s="313">
        <v>467.16</v>
      </c>
      <c r="J41" s="318">
        <v>467.16</v>
      </c>
      <c r="K41" s="341">
        <v>467.16</v>
      </c>
      <c r="L41" s="148" t="s">
        <v>246</v>
      </c>
      <c r="M41" s="166">
        <v>1956</v>
      </c>
      <c r="N41" s="179" t="s">
        <v>35</v>
      </c>
      <c r="O41" s="54" t="s">
        <v>73</v>
      </c>
      <c r="P41" s="27" t="s">
        <v>74</v>
      </c>
      <c r="Q41" s="197"/>
      <c r="R41" s="198" t="s">
        <v>89</v>
      </c>
      <c r="S41" s="198" t="s">
        <v>35</v>
      </c>
      <c r="T41" s="148" t="s">
        <v>35</v>
      </c>
      <c r="U41" s="148" t="s">
        <v>35</v>
      </c>
      <c r="V41" s="148" t="s">
        <v>35</v>
      </c>
      <c r="W41" s="204" t="s">
        <v>192</v>
      </c>
      <c r="X41" s="27" t="s">
        <v>112</v>
      </c>
      <c r="Y41" s="27" t="s">
        <v>67</v>
      </c>
      <c r="Z41" s="148" t="s">
        <v>284</v>
      </c>
      <c r="AA41" s="12" t="s">
        <v>91</v>
      </c>
      <c r="AB41" s="148" t="s">
        <v>248</v>
      </c>
    </row>
    <row r="42" spans="1:28" ht="37.5" hidden="1" customHeight="1">
      <c r="A42" s="166">
        <f t="shared" si="0"/>
        <v>1</v>
      </c>
      <c r="B42" s="45" t="s">
        <v>285</v>
      </c>
      <c r="C42" s="148" t="s">
        <v>286</v>
      </c>
      <c r="D42" s="204" t="s">
        <v>227</v>
      </c>
      <c r="E42" s="148" t="s">
        <v>228</v>
      </c>
      <c r="F42" s="148" t="s">
        <v>188</v>
      </c>
      <c r="G42" s="148" t="s">
        <v>287</v>
      </c>
      <c r="H42" s="148" t="s">
        <v>190</v>
      </c>
      <c r="I42" s="313">
        <v>255.69</v>
      </c>
      <c r="J42" s="318">
        <v>255.69</v>
      </c>
      <c r="K42" s="341">
        <v>255.69</v>
      </c>
      <c r="L42" s="148" t="s">
        <v>246</v>
      </c>
      <c r="M42" s="166">
        <v>1956</v>
      </c>
      <c r="N42" s="179" t="s">
        <v>35</v>
      </c>
      <c r="O42" s="54" t="s">
        <v>73</v>
      </c>
      <c r="P42" s="27" t="s">
        <v>74</v>
      </c>
      <c r="Q42" s="197"/>
      <c r="R42" s="198" t="s">
        <v>89</v>
      </c>
      <c r="S42" s="198" t="s">
        <v>35</v>
      </c>
      <c r="T42" s="148" t="s">
        <v>35</v>
      </c>
      <c r="U42" s="148" t="s">
        <v>35</v>
      </c>
      <c r="V42" s="148" t="s">
        <v>35</v>
      </c>
      <c r="W42" s="204" t="s">
        <v>42</v>
      </c>
      <c r="X42" s="27" t="s">
        <v>112</v>
      </c>
      <c r="Y42" s="27"/>
      <c r="Z42" s="148" t="s">
        <v>288</v>
      </c>
      <c r="AA42" s="12" t="s">
        <v>91</v>
      </c>
      <c r="AB42" s="148" t="s">
        <v>248</v>
      </c>
    </row>
    <row r="43" spans="1:28" ht="37.5" hidden="1" customHeight="1">
      <c r="A43" s="166">
        <f t="shared" si="0"/>
        <v>2</v>
      </c>
      <c r="B43" s="47" t="s">
        <v>289</v>
      </c>
      <c r="C43" s="148" t="s">
        <v>290</v>
      </c>
      <c r="D43" s="204" t="s">
        <v>227</v>
      </c>
      <c r="E43" s="148" t="s">
        <v>228</v>
      </c>
      <c r="F43" s="148" t="s">
        <v>188</v>
      </c>
      <c r="G43" s="148" t="s">
        <v>262</v>
      </c>
      <c r="H43" s="148" t="s">
        <v>262</v>
      </c>
      <c r="I43" s="313">
        <v>24.13</v>
      </c>
      <c r="J43" s="318">
        <v>24.13</v>
      </c>
      <c r="K43" s="341">
        <v>24.13</v>
      </c>
      <c r="L43" s="148" t="s">
        <v>246</v>
      </c>
      <c r="M43" s="166">
        <v>1956</v>
      </c>
      <c r="N43" s="179" t="s">
        <v>35</v>
      </c>
      <c r="O43" s="54" t="s">
        <v>73</v>
      </c>
      <c r="P43" s="27" t="s">
        <v>74</v>
      </c>
      <c r="Q43" s="197"/>
      <c r="R43" s="198" t="s">
        <v>89</v>
      </c>
      <c r="S43" s="198" t="s">
        <v>35</v>
      </c>
      <c r="T43" s="148" t="s">
        <v>35</v>
      </c>
      <c r="U43" s="148" t="s">
        <v>35</v>
      </c>
      <c r="V43" s="148" t="s">
        <v>35</v>
      </c>
      <c r="W43" s="204" t="s">
        <v>42</v>
      </c>
      <c r="X43" s="27" t="s">
        <v>112</v>
      </c>
      <c r="Y43" s="27"/>
      <c r="Z43" s="148" t="s">
        <v>291</v>
      </c>
      <c r="AA43" s="12" t="s">
        <v>91</v>
      </c>
      <c r="AB43" s="148" t="s">
        <v>248</v>
      </c>
    </row>
    <row r="44" spans="1:28" ht="37.5" customHeight="1">
      <c r="A44" s="166">
        <f t="shared" si="0"/>
        <v>3</v>
      </c>
      <c r="B44" s="45" t="s">
        <v>292</v>
      </c>
      <c r="C44" s="148" t="s">
        <v>293</v>
      </c>
      <c r="D44" s="204" t="s">
        <v>227</v>
      </c>
      <c r="E44" s="148" t="s">
        <v>228</v>
      </c>
      <c r="F44" s="148" t="s">
        <v>201</v>
      </c>
      <c r="G44" s="148" t="s">
        <v>294</v>
      </c>
      <c r="H44" s="148" t="s">
        <v>295</v>
      </c>
      <c r="I44" s="313">
        <v>6698.44</v>
      </c>
      <c r="J44" s="318">
        <v>6698.44</v>
      </c>
      <c r="K44" s="341">
        <v>6698.44</v>
      </c>
      <c r="L44" s="148" t="s">
        <v>246</v>
      </c>
      <c r="M44" s="166">
        <v>1956</v>
      </c>
      <c r="N44" s="179" t="s">
        <v>35</v>
      </c>
      <c r="O44" s="54" t="s">
        <v>73</v>
      </c>
      <c r="P44" s="27" t="s">
        <v>74</v>
      </c>
      <c r="Q44" s="197"/>
      <c r="R44" s="198" t="s">
        <v>89</v>
      </c>
      <c r="S44" s="198" t="s">
        <v>35</v>
      </c>
      <c r="T44" s="148" t="s">
        <v>35</v>
      </c>
      <c r="U44" s="148" t="s">
        <v>35</v>
      </c>
      <c r="V44" s="148" t="s">
        <v>35</v>
      </c>
      <c r="W44" s="204" t="s">
        <v>42</v>
      </c>
      <c r="X44" s="27" t="s">
        <v>112</v>
      </c>
      <c r="Y44" s="27"/>
      <c r="Z44" s="920" t="s">
        <v>247</v>
      </c>
      <c r="AA44" s="12" t="s">
        <v>91</v>
      </c>
      <c r="AB44" s="148" t="s">
        <v>248</v>
      </c>
    </row>
    <row r="45" spans="1:28" ht="42.75" hidden="1" customHeight="1">
      <c r="A45" s="166">
        <f t="shared" si="0"/>
        <v>4</v>
      </c>
      <c r="B45" s="47" t="s">
        <v>296</v>
      </c>
      <c r="C45" s="148" t="s">
        <v>297</v>
      </c>
      <c r="D45" s="204" t="s">
        <v>227</v>
      </c>
      <c r="E45" s="148" t="s">
        <v>228</v>
      </c>
      <c r="F45" s="148" t="s">
        <v>188</v>
      </c>
      <c r="G45" s="148" t="s">
        <v>298</v>
      </c>
      <c r="H45" s="148" t="s">
        <v>262</v>
      </c>
      <c r="I45" s="313">
        <v>583.72</v>
      </c>
      <c r="J45" s="318">
        <v>583.72</v>
      </c>
      <c r="K45" s="341">
        <v>583.72</v>
      </c>
      <c r="L45" s="148" t="s">
        <v>246</v>
      </c>
      <c r="M45" s="166">
        <v>1956</v>
      </c>
      <c r="N45" s="179" t="s">
        <v>35</v>
      </c>
      <c r="O45" s="54" t="s">
        <v>73</v>
      </c>
      <c r="P45" s="27" t="s">
        <v>74</v>
      </c>
      <c r="Q45" s="197"/>
      <c r="R45" s="198" t="s">
        <v>89</v>
      </c>
      <c r="S45" s="198" t="s">
        <v>35</v>
      </c>
      <c r="T45" s="148" t="s">
        <v>35</v>
      </c>
      <c r="U45" s="148" t="s">
        <v>35</v>
      </c>
      <c r="V45" s="148" t="s">
        <v>35</v>
      </c>
      <c r="W45" s="204" t="s">
        <v>42</v>
      </c>
      <c r="X45" s="27" t="s">
        <v>112</v>
      </c>
      <c r="Y45" s="27"/>
      <c r="Z45" s="148" t="s">
        <v>299</v>
      </c>
      <c r="AA45" s="12" t="s">
        <v>91</v>
      </c>
      <c r="AB45" s="148" t="s">
        <v>248</v>
      </c>
    </row>
    <row r="46" spans="1:28" ht="37.5" hidden="1" customHeight="1">
      <c r="A46" s="166">
        <f t="shared" si="0"/>
        <v>5</v>
      </c>
      <c r="B46" s="45" t="s">
        <v>300</v>
      </c>
      <c r="C46" s="148" t="s">
        <v>301</v>
      </c>
      <c r="D46" s="204" t="s">
        <v>227</v>
      </c>
      <c r="E46" s="148" t="s">
        <v>228</v>
      </c>
      <c r="F46" s="148" t="s">
        <v>188</v>
      </c>
      <c r="G46" s="148" t="s">
        <v>257</v>
      </c>
      <c r="H46" s="148" t="s">
        <v>257</v>
      </c>
      <c r="I46" s="313">
        <v>1074.0899999999999</v>
      </c>
      <c r="J46" s="318">
        <v>1074.0899999999999</v>
      </c>
      <c r="K46" s="341">
        <v>1074.0899999999999</v>
      </c>
      <c r="L46" s="148" t="s">
        <v>246</v>
      </c>
      <c r="M46" s="166">
        <v>1956</v>
      </c>
      <c r="N46" s="179" t="s">
        <v>35</v>
      </c>
      <c r="O46" s="54" t="s">
        <v>73</v>
      </c>
      <c r="P46" s="27" t="s">
        <v>74</v>
      </c>
      <c r="Q46" s="197"/>
      <c r="R46" s="198" t="s">
        <v>89</v>
      </c>
      <c r="S46" s="198" t="s">
        <v>35</v>
      </c>
      <c r="T46" s="148" t="s">
        <v>35</v>
      </c>
      <c r="U46" s="148" t="s">
        <v>35</v>
      </c>
      <c r="V46" s="148" t="s">
        <v>35</v>
      </c>
      <c r="W46" s="204" t="s">
        <v>42</v>
      </c>
      <c r="X46" s="27" t="s">
        <v>112</v>
      </c>
      <c r="Y46" s="27"/>
      <c r="Z46" s="148" t="s">
        <v>302</v>
      </c>
      <c r="AA46" s="12" t="s">
        <v>91</v>
      </c>
      <c r="AB46" s="148" t="s">
        <v>248</v>
      </c>
    </row>
    <row r="47" spans="1:28" ht="37.5" hidden="1" customHeight="1">
      <c r="A47" s="166">
        <f t="shared" si="0"/>
        <v>6</v>
      </c>
      <c r="B47" s="47" t="s">
        <v>303</v>
      </c>
      <c r="C47" s="148" t="s">
        <v>304</v>
      </c>
      <c r="D47" s="204" t="s">
        <v>227</v>
      </c>
      <c r="E47" s="148" t="s">
        <v>228</v>
      </c>
      <c r="F47" s="148" t="s">
        <v>188</v>
      </c>
      <c r="G47" s="148" t="s">
        <v>305</v>
      </c>
      <c r="H47" s="148" t="s">
        <v>190</v>
      </c>
      <c r="I47" s="313">
        <v>918.46</v>
      </c>
      <c r="J47" s="318">
        <v>918.46</v>
      </c>
      <c r="K47" s="341">
        <v>918.46</v>
      </c>
      <c r="L47" s="148" t="s">
        <v>246</v>
      </c>
      <c r="M47" s="166">
        <v>1956</v>
      </c>
      <c r="N47" s="179" t="s">
        <v>35</v>
      </c>
      <c r="O47" s="54" t="s">
        <v>73</v>
      </c>
      <c r="P47" s="27" t="s">
        <v>74</v>
      </c>
      <c r="Q47" s="197"/>
      <c r="R47" s="198" t="s">
        <v>89</v>
      </c>
      <c r="S47" s="198" t="s">
        <v>35</v>
      </c>
      <c r="T47" s="148" t="s">
        <v>35</v>
      </c>
      <c r="U47" s="148" t="s">
        <v>35</v>
      </c>
      <c r="V47" s="148" t="s">
        <v>35</v>
      </c>
      <c r="W47" s="204" t="s">
        <v>42</v>
      </c>
      <c r="X47" s="27" t="s">
        <v>112</v>
      </c>
      <c r="Y47" s="27"/>
      <c r="Z47" s="148" t="s">
        <v>306</v>
      </c>
      <c r="AA47" s="12" t="s">
        <v>91</v>
      </c>
      <c r="AB47" s="148" t="s">
        <v>248</v>
      </c>
    </row>
    <row r="48" spans="1:28" ht="37.5" hidden="1" customHeight="1">
      <c r="A48" s="166">
        <f t="shared" si="0"/>
        <v>7</v>
      </c>
      <c r="B48" s="45" t="s">
        <v>307</v>
      </c>
      <c r="C48" s="148" t="s">
        <v>308</v>
      </c>
      <c r="D48" s="204" t="s">
        <v>227</v>
      </c>
      <c r="E48" s="148" t="s">
        <v>228</v>
      </c>
      <c r="F48" s="53" t="s">
        <v>164</v>
      </c>
      <c r="G48" s="148" t="s">
        <v>309</v>
      </c>
      <c r="H48" s="148" t="s">
        <v>165</v>
      </c>
      <c r="I48" s="313">
        <v>3684.42</v>
      </c>
      <c r="J48" s="318">
        <v>3684.42</v>
      </c>
      <c r="K48" s="341">
        <v>3684.42</v>
      </c>
      <c r="L48" s="148" t="s">
        <v>246</v>
      </c>
      <c r="M48" s="166">
        <v>1956</v>
      </c>
      <c r="N48" s="179" t="s">
        <v>35</v>
      </c>
      <c r="O48" s="54" t="s">
        <v>73</v>
      </c>
      <c r="P48" s="27" t="s">
        <v>74</v>
      </c>
      <c r="Q48" s="197"/>
      <c r="R48" s="198" t="s">
        <v>89</v>
      </c>
      <c r="S48" s="198" t="s">
        <v>35</v>
      </c>
      <c r="T48" s="148" t="s">
        <v>35</v>
      </c>
      <c r="U48" s="148" t="s">
        <v>35</v>
      </c>
      <c r="V48" s="148" t="s">
        <v>35</v>
      </c>
      <c r="W48" s="204" t="s">
        <v>42</v>
      </c>
      <c r="X48" s="27" t="s">
        <v>112</v>
      </c>
      <c r="Y48" s="27"/>
      <c r="Z48" s="148" t="s">
        <v>310</v>
      </c>
      <c r="AA48" s="12" t="s">
        <v>91</v>
      </c>
      <c r="AB48" s="148" t="s">
        <v>248</v>
      </c>
    </row>
    <row r="49" spans="1:28" ht="37.5" hidden="1" customHeight="1">
      <c r="A49" s="166">
        <f t="shared" si="0"/>
        <v>8</v>
      </c>
      <c r="B49" s="47" t="s">
        <v>311</v>
      </c>
      <c r="C49" s="11" t="s">
        <v>312</v>
      </c>
      <c r="D49" s="204" t="s">
        <v>227</v>
      </c>
      <c r="E49" s="148" t="s">
        <v>228</v>
      </c>
      <c r="F49" s="148" t="s">
        <v>188</v>
      </c>
      <c r="G49" s="148" t="s">
        <v>313</v>
      </c>
      <c r="H49" s="148" t="s">
        <v>262</v>
      </c>
      <c r="I49" s="313">
        <v>163.6</v>
      </c>
      <c r="J49" s="318">
        <v>163.6</v>
      </c>
      <c r="K49" s="820">
        <v>163.6</v>
      </c>
      <c r="L49" s="148" t="s">
        <v>246</v>
      </c>
      <c r="M49" s="166">
        <v>1956</v>
      </c>
      <c r="N49" s="179" t="s">
        <v>35</v>
      </c>
      <c r="O49" s="54" t="s">
        <v>73</v>
      </c>
      <c r="P49" s="27" t="s">
        <v>74</v>
      </c>
      <c r="Q49" s="197"/>
      <c r="R49" s="198" t="s">
        <v>89</v>
      </c>
      <c r="S49" s="198" t="s">
        <v>35</v>
      </c>
      <c r="T49" s="148" t="s">
        <v>35</v>
      </c>
      <c r="U49" s="148" t="s">
        <v>35</v>
      </c>
      <c r="V49" s="148" t="s">
        <v>35</v>
      </c>
      <c r="W49" s="204" t="s">
        <v>42</v>
      </c>
      <c r="X49" s="27" t="s">
        <v>112</v>
      </c>
      <c r="Y49" s="27"/>
      <c r="Z49" s="148" t="s">
        <v>314</v>
      </c>
      <c r="AA49" s="12" t="s">
        <v>91</v>
      </c>
      <c r="AB49" s="148" t="s">
        <v>248</v>
      </c>
    </row>
    <row r="50" spans="1:28" ht="37.5" hidden="1" customHeight="1">
      <c r="A50" s="166">
        <f t="shared" si="0"/>
        <v>9</v>
      </c>
      <c r="B50" s="47" t="s">
        <v>315</v>
      </c>
      <c r="C50" s="148" t="s">
        <v>316</v>
      </c>
      <c r="D50" s="204" t="s">
        <v>227</v>
      </c>
      <c r="E50" s="148" t="s">
        <v>228</v>
      </c>
      <c r="F50" s="148" t="s">
        <v>188</v>
      </c>
      <c r="G50" s="148" t="s">
        <v>317</v>
      </c>
      <c r="H50" s="148" t="s">
        <v>262</v>
      </c>
      <c r="I50" s="313">
        <v>402.59</v>
      </c>
      <c r="J50" s="318">
        <v>402.59</v>
      </c>
      <c r="K50" s="341">
        <v>402.59</v>
      </c>
      <c r="L50" s="148" t="s">
        <v>246</v>
      </c>
      <c r="M50" s="166">
        <v>1956</v>
      </c>
      <c r="N50" s="179" t="s">
        <v>35</v>
      </c>
      <c r="O50" s="54" t="s">
        <v>73</v>
      </c>
      <c r="P50" s="27" t="s">
        <v>74</v>
      </c>
      <c r="Q50" s="197"/>
      <c r="R50" s="198" t="s">
        <v>89</v>
      </c>
      <c r="S50" s="198" t="s">
        <v>35</v>
      </c>
      <c r="T50" s="148" t="s">
        <v>35</v>
      </c>
      <c r="U50" s="148" t="s">
        <v>35</v>
      </c>
      <c r="V50" s="148" t="s">
        <v>35</v>
      </c>
      <c r="W50" s="204" t="s">
        <v>42</v>
      </c>
      <c r="X50" s="27" t="s">
        <v>112</v>
      </c>
      <c r="Y50" s="27"/>
      <c r="Z50" s="148" t="s">
        <v>318</v>
      </c>
      <c r="AA50" s="12" t="s">
        <v>91</v>
      </c>
      <c r="AB50" s="148" t="s">
        <v>248</v>
      </c>
    </row>
    <row r="51" spans="1:28" ht="44.25" hidden="1" customHeight="1">
      <c r="A51" s="166">
        <f t="shared" si="0"/>
        <v>10</v>
      </c>
      <c r="B51" s="45" t="s">
        <v>319</v>
      </c>
      <c r="C51" s="170" t="s">
        <v>320</v>
      </c>
      <c r="D51" s="148" t="s">
        <v>30</v>
      </c>
      <c r="E51" s="166" t="s">
        <v>31</v>
      </c>
      <c r="F51" s="148" t="s">
        <v>321</v>
      </c>
      <c r="G51" s="148" t="s">
        <v>322</v>
      </c>
      <c r="H51" s="148" t="s">
        <v>323</v>
      </c>
      <c r="I51" s="316">
        <v>1049.5181829999999</v>
      </c>
      <c r="J51" s="317">
        <v>1049.5181829999999</v>
      </c>
      <c r="K51" s="344">
        <v>1049.5181829999999</v>
      </c>
      <c r="L51" s="148" t="s">
        <v>324</v>
      </c>
      <c r="M51" s="166">
        <v>1963</v>
      </c>
      <c r="N51" s="179" t="s">
        <v>35</v>
      </c>
      <c r="O51" s="52" t="s">
        <v>191</v>
      </c>
      <c r="P51" s="27" t="s">
        <v>37</v>
      </c>
      <c r="Q51" s="206" t="s">
        <v>325</v>
      </c>
      <c r="R51" s="198" t="s">
        <v>89</v>
      </c>
      <c r="S51" s="199" t="s">
        <v>90</v>
      </c>
      <c r="T51" s="148" t="s">
        <v>35</v>
      </c>
      <c r="U51" s="148" t="s">
        <v>35</v>
      </c>
      <c r="V51" s="148" t="s">
        <v>35</v>
      </c>
      <c r="W51" s="204" t="s">
        <v>42</v>
      </c>
      <c r="X51" s="27" t="s">
        <v>112</v>
      </c>
      <c r="Y51" s="27" t="s">
        <v>67</v>
      </c>
      <c r="Z51" s="11" t="s">
        <v>326</v>
      </c>
      <c r="AA51" s="12" t="s">
        <v>91</v>
      </c>
      <c r="AB51" s="213"/>
    </row>
    <row r="52" spans="1:28" ht="37.5" hidden="1" customHeight="1">
      <c r="A52" s="166">
        <f t="shared" si="0"/>
        <v>11</v>
      </c>
      <c r="B52" s="45" t="s">
        <v>327</v>
      </c>
      <c r="C52" s="148" t="s">
        <v>328</v>
      </c>
      <c r="D52" s="204" t="s">
        <v>227</v>
      </c>
      <c r="E52" s="148" t="s">
        <v>228</v>
      </c>
      <c r="F52" s="148" t="s">
        <v>201</v>
      </c>
      <c r="G52" s="148" t="s">
        <v>329</v>
      </c>
      <c r="H52" s="148" t="s">
        <v>203</v>
      </c>
      <c r="I52" s="316">
        <v>1172.0999999999999</v>
      </c>
      <c r="J52" s="317">
        <v>1172.0999999999999</v>
      </c>
      <c r="K52" s="344">
        <v>1172.0999999999999</v>
      </c>
      <c r="L52" s="148" t="s">
        <v>246</v>
      </c>
      <c r="M52" s="166">
        <v>1956</v>
      </c>
      <c r="N52" s="179" t="s">
        <v>35</v>
      </c>
      <c r="O52" s="54" t="s">
        <v>73</v>
      </c>
      <c r="P52" s="27" t="s">
        <v>74</v>
      </c>
      <c r="Q52" s="53"/>
      <c r="R52" s="198" t="s">
        <v>89</v>
      </c>
      <c r="S52" s="198" t="s">
        <v>35</v>
      </c>
      <c r="T52" s="148" t="s">
        <v>35</v>
      </c>
      <c r="U52" s="148" t="s">
        <v>35</v>
      </c>
      <c r="V52" s="148" t="s">
        <v>35</v>
      </c>
      <c r="W52" s="204" t="s">
        <v>42</v>
      </c>
      <c r="X52" s="27" t="s">
        <v>112</v>
      </c>
      <c r="Y52" s="27"/>
      <c r="Z52" s="11" t="s">
        <v>326</v>
      </c>
      <c r="AA52" s="12" t="s">
        <v>91</v>
      </c>
      <c r="AB52" s="213"/>
    </row>
    <row r="53" spans="1:28" ht="37.5" hidden="1" customHeight="1">
      <c r="A53" s="166">
        <f t="shared" si="0"/>
        <v>12</v>
      </c>
      <c r="B53" s="45" t="s">
        <v>330</v>
      </c>
      <c r="C53" s="148" t="s">
        <v>331</v>
      </c>
      <c r="D53" s="204" t="s">
        <v>227</v>
      </c>
      <c r="E53" s="148" t="s">
        <v>228</v>
      </c>
      <c r="F53" s="53" t="s">
        <v>164</v>
      </c>
      <c r="G53" s="148" t="s">
        <v>165</v>
      </c>
      <c r="H53" s="148" t="s">
        <v>165</v>
      </c>
      <c r="I53" s="313">
        <v>3149.72</v>
      </c>
      <c r="J53" s="340">
        <v>0</v>
      </c>
      <c r="K53" s="341">
        <v>3149.72</v>
      </c>
      <c r="L53" s="148" t="s">
        <v>246</v>
      </c>
      <c r="M53" s="166">
        <v>1956</v>
      </c>
      <c r="N53" s="179" t="s">
        <v>35</v>
      </c>
      <c r="O53" s="54" t="s">
        <v>73</v>
      </c>
      <c r="P53" s="27" t="s">
        <v>74</v>
      </c>
      <c r="Q53" s="197"/>
      <c r="R53" s="198" t="s">
        <v>89</v>
      </c>
      <c r="S53" s="198" t="s">
        <v>35</v>
      </c>
      <c r="T53" s="148" t="s">
        <v>35</v>
      </c>
      <c r="U53" s="148" t="s">
        <v>35</v>
      </c>
      <c r="V53" s="148" t="s">
        <v>35</v>
      </c>
      <c r="W53" s="204" t="s">
        <v>42</v>
      </c>
      <c r="X53" s="27" t="s">
        <v>266</v>
      </c>
      <c r="Y53" s="27"/>
      <c r="Z53" s="148" t="s">
        <v>332</v>
      </c>
      <c r="AA53" s="166" t="s">
        <v>91</v>
      </c>
      <c r="AB53" s="148" t="s">
        <v>248</v>
      </c>
    </row>
    <row r="54" spans="1:28" ht="37.5" hidden="1" customHeight="1">
      <c r="A54" s="166">
        <f t="shared" si="0"/>
        <v>13</v>
      </c>
      <c r="B54" s="47" t="s">
        <v>333</v>
      </c>
      <c r="C54" s="148" t="s">
        <v>334</v>
      </c>
      <c r="D54" s="204" t="s">
        <v>227</v>
      </c>
      <c r="E54" s="148" t="s">
        <v>228</v>
      </c>
      <c r="F54" s="53" t="s">
        <v>164</v>
      </c>
      <c r="G54" s="221" t="s">
        <v>165</v>
      </c>
      <c r="H54" s="148" t="s">
        <v>165</v>
      </c>
      <c r="I54" s="313">
        <v>1566.73</v>
      </c>
      <c r="J54" s="340">
        <v>0</v>
      </c>
      <c r="K54" s="341">
        <v>1566.73</v>
      </c>
      <c r="L54" s="148" t="s">
        <v>246</v>
      </c>
      <c r="M54" s="166">
        <v>1956</v>
      </c>
      <c r="N54" s="179" t="s">
        <v>35</v>
      </c>
      <c r="O54" s="54" t="s">
        <v>73</v>
      </c>
      <c r="P54" s="27" t="s">
        <v>74</v>
      </c>
      <c r="Q54" s="197"/>
      <c r="R54" s="198" t="s">
        <v>89</v>
      </c>
      <c r="S54" s="198" t="s">
        <v>35</v>
      </c>
      <c r="T54" s="148" t="s">
        <v>35</v>
      </c>
      <c r="U54" s="148" t="s">
        <v>35</v>
      </c>
      <c r="V54" s="148" t="s">
        <v>35</v>
      </c>
      <c r="W54" s="204" t="s">
        <v>42</v>
      </c>
      <c r="X54" s="27" t="s">
        <v>266</v>
      </c>
      <c r="Y54" s="27"/>
      <c r="Z54" s="148" t="s">
        <v>335</v>
      </c>
      <c r="AA54" s="166" t="s">
        <v>91</v>
      </c>
      <c r="AB54" s="148" t="s">
        <v>248</v>
      </c>
    </row>
    <row r="55" spans="1:28" ht="47.25" customHeight="1">
      <c r="A55" s="166">
        <f t="shared" si="0"/>
        <v>14</v>
      </c>
      <c r="B55" s="45" t="s">
        <v>336</v>
      </c>
      <c r="C55" s="148" t="s">
        <v>337</v>
      </c>
      <c r="D55" s="204" t="s">
        <v>227</v>
      </c>
      <c r="E55" s="148" t="s">
        <v>228</v>
      </c>
      <c r="F55" s="53" t="s">
        <v>164</v>
      </c>
      <c r="G55" s="148" t="s">
        <v>338</v>
      </c>
      <c r="H55" s="148" t="s">
        <v>339</v>
      </c>
      <c r="I55" s="313">
        <v>5702.13</v>
      </c>
      <c r="J55" s="318">
        <v>5702.13</v>
      </c>
      <c r="K55" s="341">
        <v>5702.13</v>
      </c>
      <c r="L55" s="148" t="s">
        <v>246</v>
      </c>
      <c r="M55" s="166">
        <v>1956</v>
      </c>
      <c r="N55" s="179" t="s">
        <v>35</v>
      </c>
      <c r="O55" s="54" t="s">
        <v>73</v>
      </c>
      <c r="P55" s="27" t="s">
        <v>74</v>
      </c>
      <c r="Q55" s="197"/>
      <c r="R55" s="198" t="s">
        <v>89</v>
      </c>
      <c r="S55" s="198" t="s">
        <v>35</v>
      </c>
      <c r="T55" s="148" t="s">
        <v>35</v>
      </c>
      <c r="U55" s="148" t="s">
        <v>35</v>
      </c>
      <c r="V55" s="148" t="s">
        <v>35</v>
      </c>
      <c r="W55" s="204" t="s">
        <v>42</v>
      </c>
      <c r="X55" s="27" t="s">
        <v>112</v>
      </c>
      <c r="Y55" s="27"/>
      <c r="Z55" s="148" t="s">
        <v>340</v>
      </c>
      <c r="AA55" s="166" t="s">
        <v>91</v>
      </c>
      <c r="AB55" s="148" t="s">
        <v>248</v>
      </c>
    </row>
    <row r="56" spans="1:28" ht="80.25" hidden="1" customHeight="1">
      <c r="A56" s="166">
        <f t="shared" si="0"/>
        <v>15</v>
      </c>
      <c r="B56" s="47" t="s">
        <v>341</v>
      </c>
      <c r="C56" s="148" t="s">
        <v>342</v>
      </c>
      <c r="D56" s="204" t="s">
        <v>227</v>
      </c>
      <c r="E56" s="148" t="s">
        <v>228</v>
      </c>
      <c r="F56" s="53" t="s">
        <v>164</v>
      </c>
      <c r="G56" s="345" t="s">
        <v>343</v>
      </c>
      <c r="H56" s="148" t="s">
        <v>165</v>
      </c>
      <c r="I56" s="313">
        <v>5266.2</v>
      </c>
      <c r="J56" s="340">
        <v>0</v>
      </c>
      <c r="K56" s="341">
        <v>5266.2</v>
      </c>
      <c r="L56" s="148" t="s">
        <v>246</v>
      </c>
      <c r="M56" s="166">
        <v>1956</v>
      </c>
      <c r="N56" s="179" t="s">
        <v>35</v>
      </c>
      <c r="O56" s="54" t="s">
        <v>73</v>
      </c>
      <c r="P56" s="27" t="s">
        <v>74</v>
      </c>
      <c r="Q56" s="197"/>
      <c r="R56" s="198" t="s">
        <v>89</v>
      </c>
      <c r="S56" s="198" t="s">
        <v>35</v>
      </c>
      <c r="T56" s="148" t="s">
        <v>35</v>
      </c>
      <c r="U56" s="148" t="s">
        <v>35</v>
      </c>
      <c r="V56" s="148" t="s">
        <v>35</v>
      </c>
      <c r="W56" s="204" t="s">
        <v>42</v>
      </c>
      <c r="X56" s="27" t="s">
        <v>266</v>
      </c>
      <c r="Y56" s="27"/>
      <c r="Z56" s="148" t="s">
        <v>344</v>
      </c>
      <c r="AA56" s="166" t="s">
        <v>91</v>
      </c>
      <c r="AB56" s="148" t="s">
        <v>248</v>
      </c>
    </row>
    <row r="57" spans="1:28" ht="37.5" hidden="1" customHeight="1">
      <c r="A57" s="166">
        <f t="shared" si="0"/>
        <v>16</v>
      </c>
      <c r="B57" s="45" t="s">
        <v>345</v>
      </c>
      <c r="C57" s="148" t="s">
        <v>346</v>
      </c>
      <c r="D57" s="204" t="s">
        <v>227</v>
      </c>
      <c r="E57" s="148" t="s">
        <v>228</v>
      </c>
      <c r="F57" s="53" t="s">
        <v>164</v>
      </c>
      <c r="G57" s="148" t="s">
        <v>347</v>
      </c>
      <c r="H57" s="148" t="s">
        <v>348</v>
      </c>
      <c r="I57" s="313">
        <v>2871.12</v>
      </c>
      <c r="J57" s="318">
        <v>2871.12</v>
      </c>
      <c r="K57" s="341">
        <v>2871.12</v>
      </c>
      <c r="L57" s="148" t="s">
        <v>246</v>
      </c>
      <c r="M57" s="166">
        <v>1956</v>
      </c>
      <c r="N57" s="179" t="s">
        <v>35</v>
      </c>
      <c r="O57" s="54" t="s">
        <v>73</v>
      </c>
      <c r="P57" s="27" t="s">
        <v>74</v>
      </c>
      <c r="Q57" s="197"/>
      <c r="R57" s="198" t="s">
        <v>89</v>
      </c>
      <c r="S57" s="198" t="s">
        <v>35</v>
      </c>
      <c r="T57" s="148" t="s">
        <v>35</v>
      </c>
      <c r="U57" s="148" t="s">
        <v>35</v>
      </c>
      <c r="V57" s="148" t="s">
        <v>35</v>
      </c>
      <c r="W57" s="204" t="s">
        <v>279</v>
      </c>
      <c r="X57" s="27" t="s">
        <v>112</v>
      </c>
      <c r="Y57" s="27"/>
      <c r="Z57" s="148" t="s">
        <v>349</v>
      </c>
      <c r="AA57" s="166" t="s">
        <v>91</v>
      </c>
      <c r="AB57" s="148" t="s">
        <v>248</v>
      </c>
    </row>
    <row r="58" spans="1:28" ht="37.5" hidden="1" customHeight="1">
      <c r="A58" s="166">
        <f t="shared" si="0"/>
        <v>17</v>
      </c>
      <c r="B58" s="47" t="s">
        <v>350</v>
      </c>
      <c r="C58" s="148" t="s">
        <v>351</v>
      </c>
      <c r="D58" s="204" t="s">
        <v>227</v>
      </c>
      <c r="E58" s="148" t="s">
        <v>228</v>
      </c>
      <c r="F58" s="148" t="s">
        <v>188</v>
      </c>
      <c r="G58" s="148" t="s">
        <v>352</v>
      </c>
      <c r="H58" s="148" t="s">
        <v>353</v>
      </c>
      <c r="I58" s="313">
        <v>850.96</v>
      </c>
      <c r="J58" s="318">
        <v>850.96</v>
      </c>
      <c r="K58" s="341">
        <v>850.96</v>
      </c>
      <c r="L58" s="148" t="s">
        <v>246</v>
      </c>
      <c r="M58" s="166">
        <v>1956</v>
      </c>
      <c r="N58" s="179" t="s">
        <v>35</v>
      </c>
      <c r="O58" s="54" t="s">
        <v>73</v>
      </c>
      <c r="P58" s="27" t="s">
        <v>74</v>
      </c>
      <c r="Q58" s="197"/>
      <c r="R58" s="198" t="s">
        <v>89</v>
      </c>
      <c r="S58" s="198" t="s">
        <v>35</v>
      </c>
      <c r="T58" s="148" t="s">
        <v>35</v>
      </c>
      <c r="U58" s="148" t="s">
        <v>35</v>
      </c>
      <c r="V58" s="148" t="s">
        <v>35</v>
      </c>
      <c r="W58" s="204" t="s">
        <v>42</v>
      </c>
      <c r="X58" s="27" t="s">
        <v>112</v>
      </c>
      <c r="Y58" s="27"/>
      <c r="Z58" s="148" t="s">
        <v>354</v>
      </c>
      <c r="AA58" s="166" t="s">
        <v>91</v>
      </c>
      <c r="AB58" s="148" t="s">
        <v>248</v>
      </c>
    </row>
    <row r="59" spans="1:28" ht="60" hidden="1" customHeight="1">
      <c r="A59" s="166">
        <f t="shared" si="0"/>
        <v>18</v>
      </c>
      <c r="B59" s="45" t="s">
        <v>355</v>
      </c>
      <c r="C59" s="148" t="s">
        <v>356</v>
      </c>
      <c r="D59" s="204" t="s">
        <v>227</v>
      </c>
      <c r="E59" s="148" t="s">
        <v>228</v>
      </c>
      <c r="F59" s="53" t="s">
        <v>164</v>
      </c>
      <c r="G59" s="148" t="s">
        <v>357</v>
      </c>
      <c r="H59" s="148" t="s">
        <v>348</v>
      </c>
      <c r="I59" s="313">
        <v>11569.56</v>
      </c>
      <c r="J59" s="318">
        <v>11569.56</v>
      </c>
      <c r="K59" s="341">
        <v>11569.56</v>
      </c>
      <c r="L59" s="148" t="s">
        <v>246</v>
      </c>
      <c r="M59" s="166">
        <v>1956</v>
      </c>
      <c r="N59" s="179" t="s">
        <v>35</v>
      </c>
      <c r="O59" s="54" t="s">
        <v>73</v>
      </c>
      <c r="P59" s="27" t="s">
        <v>74</v>
      </c>
      <c r="Q59" s="197"/>
      <c r="R59" s="198" t="s">
        <v>89</v>
      </c>
      <c r="S59" s="198" t="s">
        <v>35</v>
      </c>
      <c r="T59" s="148" t="s">
        <v>35</v>
      </c>
      <c r="U59" s="148" t="s">
        <v>35</v>
      </c>
      <c r="V59" s="148" t="s">
        <v>35</v>
      </c>
      <c r="W59" s="204" t="s">
        <v>42</v>
      </c>
      <c r="X59" s="27" t="s">
        <v>112</v>
      </c>
      <c r="Y59" s="27"/>
      <c r="Z59" s="148" t="s">
        <v>358</v>
      </c>
      <c r="AA59" s="166" t="s">
        <v>91</v>
      </c>
      <c r="AB59" s="148" t="s">
        <v>248</v>
      </c>
    </row>
    <row r="60" spans="1:28" ht="37.5" hidden="1" customHeight="1">
      <c r="A60" s="166">
        <f t="shared" si="0"/>
        <v>19</v>
      </c>
      <c r="B60" s="47" t="s">
        <v>359</v>
      </c>
      <c r="C60" s="148" t="s">
        <v>360</v>
      </c>
      <c r="D60" s="204" t="s">
        <v>227</v>
      </c>
      <c r="E60" s="148" t="s">
        <v>228</v>
      </c>
      <c r="F60" s="148" t="s">
        <v>188</v>
      </c>
      <c r="G60" s="148" t="s">
        <v>361</v>
      </c>
      <c r="H60" s="148" t="s">
        <v>190</v>
      </c>
      <c r="I60" s="313">
        <v>908.03</v>
      </c>
      <c r="J60" s="318">
        <v>908.03</v>
      </c>
      <c r="K60" s="341">
        <v>908.03</v>
      </c>
      <c r="L60" s="148" t="s">
        <v>246</v>
      </c>
      <c r="M60" s="166">
        <v>1956</v>
      </c>
      <c r="N60" s="179" t="s">
        <v>35</v>
      </c>
      <c r="O60" s="54" t="s">
        <v>73</v>
      </c>
      <c r="P60" s="27" t="s">
        <v>74</v>
      </c>
      <c r="Q60" s="197"/>
      <c r="R60" s="198" t="s">
        <v>89</v>
      </c>
      <c r="S60" s="198" t="s">
        <v>35</v>
      </c>
      <c r="T60" s="148" t="s">
        <v>35</v>
      </c>
      <c r="U60" s="148" t="s">
        <v>35</v>
      </c>
      <c r="V60" s="148" t="s">
        <v>35</v>
      </c>
      <c r="W60" s="204" t="s">
        <v>192</v>
      </c>
      <c r="X60" s="27" t="s">
        <v>112</v>
      </c>
      <c r="Y60" s="27"/>
      <c r="Z60" s="148" t="s">
        <v>362</v>
      </c>
      <c r="AA60" s="166" t="s">
        <v>91</v>
      </c>
      <c r="AB60" s="148" t="s">
        <v>248</v>
      </c>
    </row>
    <row r="61" spans="1:28" ht="37.5" hidden="1" customHeight="1">
      <c r="A61" s="166">
        <f t="shared" si="0"/>
        <v>20</v>
      </c>
      <c r="B61" s="45" t="s">
        <v>363</v>
      </c>
      <c r="C61" s="148" t="s">
        <v>364</v>
      </c>
      <c r="D61" s="204" t="s">
        <v>227</v>
      </c>
      <c r="E61" s="148" t="s">
        <v>228</v>
      </c>
      <c r="F61" s="148" t="s">
        <v>188</v>
      </c>
      <c r="G61" s="148" t="s">
        <v>365</v>
      </c>
      <c r="H61" s="148" t="s">
        <v>257</v>
      </c>
      <c r="I61" s="313">
        <v>289.24</v>
      </c>
      <c r="J61" s="318">
        <v>289.24</v>
      </c>
      <c r="K61" s="341">
        <v>289.24</v>
      </c>
      <c r="L61" s="148" t="s">
        <v>246</v>
      </c>
      <c r="M61" s="166">
        <v>1956</v>
      </c>
      <c r="N61" s="179" t="s">
        <v>35</v>
      </c>
      <c r="O61" s="54" t="s">
        <v>73</v>
      </c>
      <c r="P61" s="27" t="s">
        <v>74</v>
      </c>
      <c r="Q61" s="197"/>
      <c r="R61" s="198" t="s">
        <v>89</v>
      </c>
      <c r="S61" s="198" t="s">
        <v>35</v>
      </c>
      <c r="T61" s="148" t="s">
        <v>35</v>
      </c>
      <c r="U61" s="148" t="s">
        <v>35</v>
      </c>
      <c r="V61" s="148" t="s">
        <v>35</v>
      </c>
      <c r="W61" s="204" t="s">
        <v>42</v>
      </c>
      <c r="X61" s="27" t="s">
        <v>112</v>
      </c>
      <c r="Y61" s="27"/>
      <c r="Z61" s="148" t="s">
        <v>366</v>
      </c>
      <c r="AA61" s="166" t="s">
        <v>91</v>
      </c>
      <c r="AB61" s="148" t="s">
        <v>248</v>
      </c>
    </row>
    <row r="62" spans="1:28" ht="37.5" hidden="1" customHeight="1">
      <c r="A62" s="166">
        <f t="shared" si="0"/>
        <v>21</v>
      </c>
      <c r="B62" s="45" t="s">
        <v>367</v>
      </c>
      <c r="C62" s="148" t="s">
        <v>368</v>
      </c>
      <c r="D62" s="204" t="s">
        <v>227</v>
      </c>
      <c r="E62" s="148" t="s">
        <v>228</v>
      </c>
      <c r="F62" s="53" t="s">
        <v>164</v>
      </c>
      <c r="G62" s="148" t="s">
        <v>369</v>
      </c>
      <c r="H62" s="148" t="s">
        <v>370</v>
      </c>
      <c r="I62" s="313">
        <v>5201.3100000000004</v>
      </c>
      <c r="J62" s="318">
        <v>5201.3100000000004</v>
      </c>
      <c r="K62" s="341">
        <v>5201.3100000000004</v>
      </c>
      <c r="L62" s="148" t="s">
        <v>246</v>
      </c>
      <c r="M62" s="166">
        <v>1956</v>
      </c>
      <c r="N62" s="179" t="s">
        <v>35</v>
      </c>
      <c r="O62" s="54" t="s">
        <v>73</v>
      </c>
      <c r="P62" s="27" t="s">
        <v>74</v>
      </c>
      <c r="Q62" s="197"/>
      <c r="R62" s="198" t="s">
        <v>89</v>
      </c>
      <c r="S62" s="198" t="s">
        <v>35</v>
      </c>
      <c r="T62" s="148" t="s">
        <v>35</v>
      </c>
      <c r="U62" s="148" t="s">
        <v>35</v>
      </c>
      <c r="V62" s="148" t="s">
        <v>35</v>
      </c>
      <c r="W62" s="204" t="s">
        <v>42</v>
      </c>
      <c r="X62" s="27" t="s">
        <v>112</v>
      </c>
      <c r="Y62" s="27"/>
      <c r="Z62" s="148" t="s">
        <v>371</v>
      </c>
      <c r="AA62" s="166" t="s">
        <v>91</v>
      </c>
      <c r="AB62" s="148" t="s">
        <v>248</v>
      </c>
    </row>
    <row r="63" spans="1:28" ht="38.25" hidden="1" customHeight="1">
      <c r="A63" s="166">
        <f t="shared" si="0"/>
        <v>22</v>
      </c>
      <c r="B63" s="47" t="s">
        <v>372</v>
      </c>
      <c r="C63" s="148" t="s">
        <v>373</v>
      </c>
      <c r="D63" s="148" t="s">
        <v>30</v>
      </c>
      <c r="E63" s="166" t="s">
        <v>31</v>
      </c>
      <c r="F63" s="53" t="s">
        <v>155</v>
      </c>
      <c r="G63" s="148" t="s">
        <v>374</v>
      </c>
      <c r="H63" s="148" t="s">
        <v>197</v>
      </c>
      <c r="I63" s="313">
        <v>50.21</v>
      </c>
      <c r="J63" s="318">
        <v>50.21</v>
      </c>
      <c r="K63" s="341">
        <v>50.21</v>
      </c>
      <c r="L63" s="148" t="s">
        <v>375</v>
      </c>
      <c r="M63" s="166">
        <v>1963</v>
      </c>
      <c r="N63" s="179" t="s">
        <v>35</v>
      </c>
      <c r="O63" s="52" t="s">
        <v>376</v>
      </c>
      <c r="P63" s="27" t="s">
        <v>37</v>
      </c>
      <c r="Q63" s="197"/>
      <c r="R63" s="198" t="s">
        <v>89</v>
      </c>
      <c r="S63" s="198" t="s">
        <v>35</v>
      </c>
      <c r="T63" s="148" t="s">
        <v>35</v>
      </c>
      <c r="U63" s="148" t="s">
        <v>35</v>
      </c>
      <c r="V63" s="148" t="s">
        <v>35</v>
      </c>
      <c r="W63" s="204" t="s">
        <v>42</v>
      </c>
      <c r="X63" s="27" t="s">
        <v>112</v>
      </c>
      <c r="Y63" s="27" t="s">
        <v>67</v>
      </c>
      <c r="Z63" s="148" t="s">
        <v>377</v>
      </c>
      <c r="AA63" s="166" t="s">
        <v>91</v>
      </c>
      <c r="AB63" s="148" t="s">
        <v>378</v>
      </c>
    </row>
    <row r="64" spans="1:28" ht="50.25" hidden="1" customHeight="1">
      <c r="A64" s="166">
        <f t="shared" si="0"/>
        <v>23</v>
      </c>
      <c r="B64" s="45" t="s">
        <v>379</v>
      </c>
      <c r="C64" s="148" t="s">
        <v>380</v>
      </c>
      <c r="D64" s="168" t="s">
        <v>30</v>
      </c>
      <c r="E64" s="166" t="s">
        <v>31</v>
      </c>
      <c r="F64" s="148" t="s">
        <v>321</v>
      </c>
      <c r="G64" s="148" t="s">
        <v>381</v>
      </c>
      <c r="H64" s="148" t="s">
        <v>382</v>
      </c>
      <c r="I64" s="313">
        <v>2000</v>
      </c>
      <c r="J64" s="318">
        <v>2000</v>
      </c>
      <c r="K64" s="341">
        <v>2000</v>
      </c>
      <c r="L64" s="168" t="s">
        <v>383</v>
      </c>
      <c r="M64" s="166">
        <v>1969</v>
      </c>
      <c r="N64" s="179" t="s">
        <v>35</v>
      </c>
      <c r="O64" s="54" t="s">
        <v>73</v>
      </c>
      <c r="P64" s="27" t="s">
        <v>74</v>
      </c>
      <c r="Q64" s="53"/>
      <c r="R64" s="194" t="s">
        <v>38</v>
      </c>
      <c r="S64" s="194" t="s">
        <v>39</v>
      </c>
      <c r="T64" s="200" t="s">
        <v>384</v>
      </c>
      <c r="U64" s="195">
        <v>2004</v>
      </c>
      <c r="V64" s="196" t="s">
        <v>55</v>
      </c>
      <c r="W64" s="66" t="s">
        <v>192</v>
      </c>
      <c r="X64" s="27" t="s">
        <v>112</v>
      </c>
      <c r="Y64" s="27">
        <v>3315</v>
      </c>
      <c r="Z64" s="148" t="s">
        <v>168</v>
      </c>
      <c r="AA64" s="166" t="s">
        <v>91</v>
      </c>
      <c r="AB64" s="168" t="s">
        <v>385</v>
      </c>
    </row>
    <row r="65" spans="1:28" ht="30" hidden="1" customHeight="1">
      <c r="A65" s="166">
        <f t="shared" si="0"/>
        <v>24</v>
      </c>
      <c r="B65" s="45" t="s">
        <v>386</v>
      </c>
      <c r="C65" s="148" t="s">
        <v>387</v>
      </c>
      <c r="D65" s="148" t="s">
        <v>30</v>
      </c>
      <c r="E65" s="166" t="s">
        <v>31</v>
      </c>
      <c r="F65" s="148" t="s">
        <v>210</v>
      </c>
      <c r="G65" s="148" t="s">
        <v>388</v>
      </c>
      <c r="H65" s="148" t="s">
        <v>212</v>
      </c>
      <c r="I65" s="313">
        <v>8</v>
      </c>
      <c r="J65" s="318">
        <v>8</v>
      </c>
      <c r="K65" s="341">
        <v>8</v>
      </c>
      <c r="L65" s="148" t="s">
        <v>389</v>
      </c>
      <c r="M65" s="166">
        <v>1972</v>
      </c>
      <c r="N65" s="179" t="s">
        <v>35</v>
      </c>
      <c r="O65" s="54" t="s">
        <v>73</v>
      </c>
      <c r="P65" s="27" t="s">
        <v>74</v>
      </c>
      <c r="Q65" s="197"/>
      <c r="R65" s="198" t="s">
        <v>89</v>
      </c>
      <c r="S65" s="198" t="s">
        <v>35</v>
      </c>
      <c r="T65" s="148" t="s">
        <v>35</v>
      </c>
      <c r="U65" s="148" t="s">
        <v>35</v>
      </c>
      <c r="V65" s="148" t="s">
        <v>35</v>
      </c>
      <c r="W65" s="204" t="s">
        <v>42</v>
      </c>
      <c r="X65" s="27" t="s">
        <v>112</v>
      </c>
      <c r="Y65" s="27"/>
      <c r="Z65" s="148" t="s">
        <v>168</v>
      </c>
      <c r="AA65" s="166" t="s">
        <v>91</v>
      </c>
      <c r="AB65" s="148" t="s">
        <v>390</v>
      </c>
    </row>
    <row r="66" spans="1:28" ht="42.75" hidden="1" customHeight="1">
      <c r="A66" s="166">
        <f t="shared" si="0"/>
        <v>25</v>
      </c>
      <c r="B66" s="45" t="s">
        <v>391</v>
      </c>
      <c r="C66" s="200" t="s">
        <v>392</v>
      </c>
      <c r="D66" s="148" t="s">
        <v>48</v>
      </c>
      <c r="E66" s="166" t="s">
        <v>49</v>
      </c>
      <c r="F66" s="148" t="s">
        <v>180</v>
      </c>
      <c r="G66" s="148" t="s">
        <v>393</v>
      </c>
      <c r="H66" s="148" t="s">
        <v>394</v>
      </c>
      <c r="I66" s="316">
        <v>983.29200000000003</v>
      </c>
      <c r="J66" s="317">
        <v>983.29200000000003</v>
      </c>
      <c r="K66" s="344">
        <v>983.29200000000003</v>
      </c>
      <c r="L66" s="148" t="s">
        <v>395</v>
      </c>
      <c r="M66" s="166">
        <v>1977</v>
      </c>
      <c r="N66" s="179" t="s">
        <v>35</v>
      </c>
      <c r="O66" s="46" t="s">
        <v>51</v>
      </c>
      <c r="P66" s="27" t="s">
        <v>37</v>
      </c>
      <c r="Q66" s="27"/>
      <c r="R66" s="190" t="s">
        <v>38</v>
      </c>
      <c r="S66" s="194" t="s">
        <v>396</v>
      </c>
      <c r="T66" s="200" t="s">
        <v>397</v>
      </c>
      <c r="U66" s="195">
        <v>2000</v>
      </c>
      <c r="V66" s="196" t="s">
        <v>398</v>
      </c>
      <c r="W66" s="54" t="s">
        <v>42</v>
      </c>
      <c r="X66" s="27" t="s">
        <v>112</v>
      </c>
      <c r="Y66" s="27" t="s">
        <v>67</v>
      </c>
      <c r="Z66" s="148" t="s">
        <v>399</v>
      </c>
      <c r="AA66" s="166" t="s">
        <v>91</v>
      </c>
      <c r="AB66" s="166" t="s">
        <v>400</v>
      </c>
    </row>
    <row r="67" spans="1:28" ht="66" hidden="1" customHeight="1">
      <c r="A67" s="166">
        <f t="shared" si="0"/>
        <v>26</v>
      </c>
      <c r="B67" s="47" t="s">
        <v>401</v>
      </c>
      <c r="C67" s="148" t="s">
        <v>402</v>
      </c>
      <c r="D67" s="168" t="s">
        <v>403</v>
      </c>
      <c r="E67" s="166" t="s">
        <v>127</v>
      </c>
      <c r="F67" s="148" t="s">
        <v>188</v>
      </c>
      <c r="G67" s="148" t="s">
        <v>404</v>
      </c>
      <c r="H67" s="148" t="s">
        <v>190</v>
      </c>
      <c r="I67" s="313">
        <v>2800</v>
      </c>
      <c r="J67" s="318">
        <v>2800</v>
      </c>
      <c r="K67" s="341">
        <v>2800</v>
      </c>
      <c r="L67" s="148" t="s">
        <v>405</v>
      </c>
      <c r="M67" s="166">
        <v>1977</v>
      </c>
      <c r="N67" s="179" t="s">
        <v>35</v>
      </c>
      <c r="O67" s="46" t="s">
        <v>51</v>
      </c>
      <c r="P67" s="27" t="s">
        <v>37</v>
      </c>
      <c r="Q67" s="27"/>
      <c r="R67" s="190" t="s">
        <v>38</v>
      </c>
      <c r="S67" s="194" t="s">
        <v>39</v>
      </c>
      <c r="T67" s="200" t="s">
        <v>406</v>
      </c>
      <c r="U67" s="195">
        <v>2000</v>
      </c>
      <c r="V67" s="196" t="s">
        <v>407</v>
      </c>
      <c r="W67" s="66" t="s">
        <v>192</v>
      </c>
      <c r="X67" s="27" t="s">
        <v>112</v>
      </c>
      <c r="Y67" s="27" t="s">
        <v>67</v>
      </c>
      <c r="Z67" s="215"/>
      <c r="AA67" s="213"/>
      <c r="AB67" s="213"/>
    </row>
    <row r="68" spans="1:28" ht="44.25" hidden="1" customHeight="1">
      <c r="A68" s="166">
        <f t="shared" si="0"/>
        <v>27</v>
      </c>
      <c r="B68" s="45" t="s">
        <v>408</v>
      </c>
      <c r="C68" s="148" t="s">
        <v>409</v>
      </c>
      <c r="D68" s="148" t="s">
        <v>30</v>
      </c>
      <c r="E68" s="166" t="s">
        <v>31</v>
      </c>
      <c r="F68" s="148" t="s">
        <v>32</v>
      </c>
      <c r="G68" s="148" t="s">
        <v>118</v>
      </c>
      <c r="H68" s="148" t="s">
        <v>32</v>
      </c>
      <c r="I68" s="313">
        <v>1105</v>
      </c>
      <c r="J68" s="340">
        <v>0</v>
      </c>
      <c r="K68" s="341">
        <v>1105</v>
      </c>
      <c r="L68" s="148" t="s">
        <v>410</v>
      </c>
      <c r="M68" s="166">
        <v>1980</v>
      </c>
      <c r="N68" s="179" t="s">
        <v>35</v>
      </c>
      <c r="O68" s="52" t="s">
        <v>191</v>
      </c>
      <c r="P68" s="27" t="s">
        <v>37</v>
      </c>
      <c r="Q68" s="197"/>
      <c r="R68" s="198" t="s">
        <v>89</v>
      </c>
      <c r="S68" s="198" t="s">
        <v>35</v>
      </c>
      <c r="T68" s="148" t="s">
        <v>35</v>
      </c>
      <c r="U68" s="148" t="s">
        <v>35</v>
      </c>
      <c r="V68" s="148" t="s">
        <v>35</v>
      </c>
      <c r="W68" s="204" t="s">
        <v>42</v>
      </c>
      <c r="X68" s="27" t="s">
        <v>411</v>
      </c>
      <c r="Y68" s="27">
        <v>3617</v>
      </c>
      <c r="Z68" s="148" t="s">
        <v>168</v>
      </c>
      <c r="AA68" s="166" t="s">
        <v>91</v>
      </c>
      <c r="AB68" s="148" t="s">
        <v>412</v>
      </c>
    </row>
    <row r="69" spans="1:28" ht="42" hidden="1" customHeight="1">
      <c r="A69" s="166">
        <f t="shared" ref="A69:A132" si="1">A68+1</f>
        <v>28</v>
      </c>
      <c r="B69" s="47" t="s">
        <v>413</v>
      </c>
      <c r="C69" s="148" t="s">
        <v>414</v>
      </c>
      <c r="D69" s="148" t="s">
        <v>30</v>
      </c>
      <c r="E69" s="166" t="s">
        <v>31</v>
      </c>
      <c r="F69" s="148" t="s">
        <v>180</v>
      </c>
      <c r="G69" s="148" t="s">
        <v>415</v>
      </c>
      <c r="H69" s="148" t="s">
        <v>182</v>
      </c>
      <c r="I69" s="313">
        <v>81.003</v>
      </c>
      <c r="J69" s="318">
        <v>81.003</v>
      </c>
      <c r="K69" s="341">
        <v>81.003</v>
      </c>
      <c r="L69" s="148" t="s">
        <v>416</v>
      </c>
      <c r="M69" s="166">
        <v>1980</v>
      </c>
      <c r="N69" s="179" t="s">
        <v>35</v>
      </c>
      <c r="O69" s="52" t="s">
        <v>191</v>
      </c>
      <c r="P69" s="27" t="s">
        <v>37</v>
      </c>
      <c r="Q69" s="53"/>
      <c r="R69" s="198" t="s">
        <v>89</v>
      </c>
      <c r="S69" s="198" t="s">
        <v>35</v>
      </c>
      <c r="T69" s="148" t="s">
        <v>35</v>
      </c>
      <c r="U69" s="148" t="s">
        <v>35</v>
      </c>
      <c r="V69" s="148" t="s">
        <v>35</v>
      </c>
      <c r="W69" s="204" t="s">
        <v>42</v>
      </c>
      <c r="X69" s="27" t="s">
        <v>112</v>
      </c>
      <c r="Y69" s="27" t="s">
        <v>67</v>
      </c>
      <c r="Z69" s="11" t="s">
        <v>417</v>
      </c>
      <c r="AA69" s="213"/>
      <c r="AB69" s="213"/>
    </row>
    <row r="70" spans="1:28" ht="38.25" hidden="1" customHeight="1">
      <c r="A70" s="166">
        <f t="shared" si="1"/>
        <v>29</v>
      </c>
      <c r="B70" s="45" t="s">
        <v>418</v>
      </c>
      <c r="C70" s="170" t="s">
        <v>419</v>
      </c>
      <c r="D70" s="148" t="s">
        <v>105</v>
      </c>
      <c r="E70" s="166" t="s">
        <v>106</v>
      </c>
      <c r="F70" s="148" t="s">
        <v>172</v>
      </c>
      <c r="G70" s="148" t="s">
        <v>420</v>
      </c>
      <c r="H70" s="148" t="s">
        <v>421</v>
      </c>
      <c r="I70" s="313">
        <v>22114.45</v>
      </c>
      <c r="J70" s="318">
        <v>22114.45</v>
      </c>
      <c r="K70" s="341">
        <v>22114.45</v>
      </c>
      <c r="L70" s="148" t="s">
        <v>422</v>
      </c>
      <c r="M70" s="166">
        <v>1987</v>
      </c>
      <c r="N70" s="179" t="s">
        <v>35</v>
      </c>
      <c r="O70" s="50" t="s">
        <v>423</v>
      </c>
      <c r="P70" s="27" t="s">
        <v>62</v>
      </c>
      <c r="Q70" s="233" t="s">
        <v>325</v>
      </c>
      <c r="R70" s="198" t="s">
        <v>89</v>
      </c>
      <c r="S70" s="199" t="s">
        <v>90</v>
      </c>
      <c r="T70" s="148" t="s">
        <v>35</v>
      </c>
      <c r="U70" s="148" t="s">
        <v>35</v>
      </c>
      <c r="V70" s="148" t="s">
        <v>35</v>
      </c>
      <c r="W70" s="204" t="s">
        <v>42</v>
      </c>
      <c r="X70" s="27" t="s">
        <v>112</v>
      </c>
      <c r="Y70" s="27" t="s">
        <v>67</v>
      </c>
      <c r="Z70" s="11" t="s">
        <v>424</v>
      </c>
      <c r="AA70" s="213"/>
      <c r="AB70" s="213"/>
    </row>
    <row r="71" spans="1:28" ht="47.25" hidden="1" customHeight="1">
      <c r="A71" s="166">
        <f t="shared" si="1"/>
        <v>30</v>
      </c>
      <c r="B71" s="47" t="s">
        <v>425</v>
      </c>
      <c r="C71" s="148" t="s">
        <v>426</v>
      </c>
      <c r="D71" s="148" t="s">
        <v>48</v>
      </c>
      <c r="E71" s="166" t="s">
        <v>49</v>
      </c>
      <c r="F71" s="148" t="s">
        <v>210</v>
      </c>
      <c r="G71" s="148" t="s">
        <v>211</v>
      </c>
      <c r="H71" s="148" t="s">
        <v>212</v>
      </c>
      <c r="I71" s="322">
        <v>6265</v>
      </c>
      <c r="J71" s="815">
        <v>6265</v>
      </c>
      <c r="K71" s="816">
        <v>6265</v>
      </c>
      <c r="L71" s="148" t="s">
        <v>427</v>
      </c>
      <c r="M71" s="166">
        <v>1990</v>
      </c>
      <c r="N71" s="179" t="s">
        <v>35</v>
      </c>
      <c r="O71" s="46" t="s">
        <v>51</v>
      </c>
      <c r="P71" s="27" t="s">
        <v>37</v>
      </c>
      <c r="Q71" s="27"/>
      <c r="R71" s="198" t="s">
        <v>89</v>
      </c>
      <c r="S71" s="198" t="s">
        <v>35</v>
      </c>
      <c r="T71" s="148" t="s">
        <v>35</v>
      </c>
      <c r="U71" s="148" t="s">
        <v>35</v>
      </c>
      <c r="V71" s="148" t="s">
        <v>35</v>
      </c>
      <c r="W71" s="204" t="s">
        <v>42</v>
      </c>
      <c r="X71" s="27" t="s">
        <v>112</v>
      </c>
      <c r="Y71" s="27" t="s">
        <v>67</v>
      </c>
      <c r="Z71" s="215"/>
      <c r="AA71" s="213"/>
      <c r="AB71" s="213"/>
    </row>
    <row r="72" spans="1:28" ht="51" hidden="1">
      <c r="A72" s="166">
        <f t="shared" si="1"/>
        <v>31</v>
      </c>
      <c r="B72" s="45" t="s">
        <v>428</v>
      </c>
      <c r="C72" s="200" t="s">
        <v>429</v>
      </c>
      <c r="D72" s="148" t="s">
        <v>105</v>
      </c>
      <c r="E72" s="166" t="s">
        <v>106</v>
      </c>
      <c r="F72" s="148" t="s">
        <v>430</v>
      </c>
      <c r="G72" s="148" t="s">
        <v>156</v>
      </c>
      <c r="H72" s="148" t="s">
        <v>431</v>
      </c>
      <c r="I72" s="313">
        <v>240536.82</v>
      </c>
      <c r="J72" s="318">
        <v>240536.82</v>
      </c>
      <c r="K72" s="341">
        <v>240536.82</v>
      </c>
      <c r="L72" s="148" t="s">
        <v>432</v>
      </c>
      <c r="M72" s="166">
        <v>1990</v>
      </c>
      <c r="N72" s="179" t="s">
        <v>35</v>
      </c>
      <c r="O72" s="49" t="s">
        <v>433</v>
      </c>
      <c r="P72" s="27" t="s">
        <v>37</v>
      </c>
      <c r="Q72" s="53"/>
      <c r="R72" s="190" t="s">
        <v>38</v>
      </c>
      <c r="S72" s="194" t="s">
        <v>53</v>
      </c>
      <c r="T72" s="200" t="s">
        <v>434</v>
      </c>
      <c r="U72" s="195">
        <v>2011</v>
      </c>
      <c r="V72" s="196" t="s">
        <v>145</v>
      </c>
      <c r="W72" s="66" t="s">
        <v>66</v>
      </c>
      <c r="X72" s="27" t="s">
        <v>112</v>
      </c>
      <c r="Y72" s="27" t="s">
        <v>67</v>
      </c>
      <c r="Z72" s="148" t="s">
        <v>435</v>
      </c>
      <c r="AA72" s="148" t="s">
        <v>436</v>
      </c>
      <c r="AB72" s="148" t="s">
        <v>437</v>
      </c>
    </row>
    <row r="73" spans="1:28" ht="30" hidden="1" customHeight="1">
      <c r="A73" s="166">
        <f t="shared" si="1"/>
        <v>32</v>
      </c>
      <c r="B73" s="47" t="s">
        <v>438</v>
      </c>
      <c r="C73" s="148" t="s">
        <v>439</v>
      </c>
      <c r="D73" s="148" t="s">
        <v>440</v>
      </c>
      <c r="E73" s="166" t="s">
        <v>441</v>
      </c>
      <c r="F73" s="148" t="s">
        <v>32</v>
      </c>
      <c r="G73" s="148" t="s">
        <v>118</v>
      </c>
      <c r="H73" s="148" t="s">
        <v>32</v>
      </c>
      <c r="I73" s="313">
        <v>454</v>
      </c>
      <c r="J73" s="318">
        <v>454</v>
      </c>
      <c r="K73" s="341">
        <v>454</v>
      </c>
      <c r="L73" s="148" t="s">
        <v>442</v>
      </c>
      <c r="M73" s="166">
        <v>1995</v>
      </c>
      <c r="N73" s="922">
        <v>34788</v>
      </c>
      <c r="O73" s="206" t="s">
        <v>443</v>
      </c>
      <c r="P73" s="27" t="s">
        <v>37</v>
      </c>
      <c r="Q73" s="53"/>
      <c r="R73" s="198" t="s">
        <v>89</v>
      </c>
      <c r="S73" s="198" t="s">
        <v>35</v>
      </c>
      <c r="T73" s="148" t="s">
        <v>35</v>
      </c>
      <c r="U73" s="148" t="s">
        <v>35</v>
      </c>
      <c r="V73" s="148" t="s">
        <v>35</v>
      </c>
      <c r="W73" s="204" t="s">
        <v>66</v>
      </c>
      <c r="X73" s="27" t="s">
        <v>112</v>
      </c>
      <c r="Y73" s="27">
        <v>2942</v>
      </c>
      <c r="Z73" s="148" t="s">
        <v>442</v>
      </c>
      <c r="AA73" s="900"/>
      <c r="AB73" s="900"/>
    </row>
    <row r="74" spans="1:28" ht="30" hidden="1" customHeight="1">
      <c r="A74" s="166">
        <f t="shared" si="1"/>
        <v>33</v>
      </c>
      <c r="B74" s="45" t="s">
        <v>444</v>
      </c>
      <c r="C74" s="148" t="s">
        <v>445</v>
      </c>
      <c r="D74" s="148" t="s">
        <v>440</v>
      </c>
      <c r="E74" s="166" t="s">
        <v>441</v>
      </c>
      <c r="F74" s="148" t="s">
        <v>32</v>
      </c>
      <c r="G74" s="148" t="s">
        <v>118</v>
      </c>
      <c r="H74" s="148" t="s">
        <v>32</v>
      </c>
      <c r="I74" s="313">
        <v>556</v>
      </c>
      <c r="J74" s="318">
        <v>556</v>
      </c>
      <c r="K74" s="341">
        <v>556</v>
      </c>
      <c r="L74" s="148" t="s">
        <v>446</v>
      </c>
      <c r="M74" s="166">
        <v>1995</v>
      </c>
      <c r="N74" s="922">
        <v>34788</v>
      </c>
      <c r="O74" s="206" t="s">
        <v>443</v>
      </c>
      <c r="P74" s="27" t="s">
        <v>37</v>
      </c>
      <c r="Q74" s="53"/>
      <c r="R74" s="198" t="s">
        <v>89</v>
      </c>
      <c r="S74" s="198" t="s">
        <v>35</v>
      </c>
      <c r="T74" s="148" t="s">
        <v>35</v>
      </c>
      <c r="U74" s="148" t="s">
        <v>35</v>
      </c>
      <c r="V74" s="148" t="s">
        <v>35</v>
      </c>
      <c r="W74" s="204" t="s">
        <v>66</v>
      </c>
      <c r="X74" s="27" t="s">
        <v>112</v>
      </c>
      <c r="Y74" s="27" t="s">
        <v>67</v>
      </c>
      <c r="Z74" s="148" t="s">
        <v>446</v>
      </c>
      <c r="AA74" s="900"/>
      <c r="AB74" s="900"/>
    </row>
    <row r="75" spans="1:28" ht="35.25" hidden="1" customHeight="1">
      <c r="A75" s="166">
        <f t="shared" si="1"/>
        <v>34</v>
      </c>
      <c r="B75" s="47" t="s">
        <v>447</v>
      </c>
      <c r="C75" s="148" t="s">
        <v>448</v>
      </c>
      <c r="D75" s="148" t="s">
        <v>440</v>
      </c>
      <c r="E75" s="166" t="s">
        <v>441</v>
      </c>
      <c r="F75" s="148" t="s">
        <v>210</v>
      </c>
      <c r="G75" s="148" t="s">
        <v>211</v>
      </c>
      <c r="H75" s="148" t="s">
        <v>212</v>
      </c>
      <c r="I75" s="313">
        <v>643.54</v>
      </c>
      <c r="J75" s="340">
        <v>0</v>
      </c>
      <c r="K75" s="341">
        <v>643.54</v>
      </c>
      <c r="L75" s="148" t="s">
        <v>449</v>
      </c>
      <c r="M75" s="166">
        <v>1995</v>
      </c>
      <c r="N75" s="879">
        <v>34878</v>
      </c>
      <c r="O75" s="206" t="s">
        <v>450</v>
      </c>
      <c r="P75" s="27" t="s">
        <v>37</v>
      </c>
      <c r="Q75" s="53"/>
      <c r="R75" s="198" t="s">
        <v>89</v>
      </c>
      <c r="S75" s="198" t="s">
        <v>35</v>
      </c>
      <c r="T75" s="148" t="s">
        <v>35</v>
      </c>
      <c r="U75" s="148" t="s">
        <v>35</v>
      </c>
      <c r="V75" s="148" t="s">
        <v>35</v>
      </c>
      <c r="W75" s="204" t="s">
        <v>66</v>
      </c>
      <c r="X75" s="923" t="s">
        <v>451</v>
      </c>
      <c r="Y75" s="27" t="s">
        <v>67</v>
      </c>
      <c r="Z75" s="148" t="s">
        <v>449</v>
      </c>
      <c r="AA75" s="900"/>
      <c r="AB75" s="900"/>
    </row>
    <row r="76" spans="1:28" ht="30" hidden="1" customHeight="1">
      <c r="A76" s="166">
        <f t="shared" si="1"/>
        <v>35</v>
      </c>
      <c r="B76" s="45" t="s">
        <v>452</v>
      </c>
      <c r="C76" s="148" t="s">
        <v>453</v>
      </c>
      <c r="D76" s="148" t="s">
        <v>440</v>
      </c>
      <c r="E76" s="166" t="s">
        <v>441</v>
      </c>
      <c r="F76" s="148" t="s">
        <v>32</v>
      </c>
      <c r="G76" s="148" t="s">
        <v>118</v>
      </c>
      <c r="H76" s="148" t="s">
        <v>32</v>
      </c>
      <c r="I76" s="313">
        <v>586</v>
      </c>
      <c r="J76" s="318">
        <v>586</v>
      </c>
      <c r="K76" s="341">
        <v>586</v>
      </c>
      <c r="L76" s="148" t="s">
        <v>454</v>
      </c>
      <c r="M76" s="166">
        <v>1995</v>
      </c>
      <c r="N76" s="922">
        <v>34788</v>
      </c>
      <c r="O76" s="206" t="s">
        <v>443</v>
      </c>
      <c r="P76" s="27" t="s">
        <v>37</v>
      </c>
      <c r="Q76" s="53"/>
      <c r="R76" s="198" t="s">
        <v>89</v>
      </c>
      <c r="S76" s="198" t="s">
        <v>35</v>
      </c>
      <c r="T76" s="148" t="s">
        <v>35</v>
      </c>
      <c r="U76" s="148" t="s">
        <v>35</v>
      </c>
      <c r="V76" s="148" t="s">
        <v>35</v>
      </c>
      <c r="W76" s="204" t="s">
        <v>66</v>
      </c>
      <c r="X76" s="27" t="s">
        <v>112</v>
      </c>
      <c r="Y76" s="27" t="s">
        <v>67</v>
      </c>
      <c r="Z76" s="148" t="s">
        <v>454</v>
      </c>
      <c r="AA76" s="900"/>
      <c r="AB76" s="900"/>
    </row>
    <row r="77" spans="1:28" ht="42.75" hidden="1" customHeight="1">
      <c r="A77" s="166">
        <f t="shared" si="1"/>
        <v>36</v>
      </c>
      <c r="B77" s="47" t="s">
        <v>455</v>
      </c>
      <c r="C77" s="200" t="s">
        <v>456</v>
      </c>
      <c r="D77" s="148" t="s">
        <v>126</v>
      </c>
      <c r="E77" s="166" t="s">
        <v>127</v>
      </c>
      <c r="F77" s="148" t="s">
        <v>210</v>
      </c>
      <c r="G77" s="148" t="s">
        <v>457</v>
      </c>
      <c r="H77" s="148" t="s">
        <v>212</v>
      </c>
      <c r="I77" s="313">
        <v>20760</v>
      </c>
      <c r="J77" s="318">
        <v>20760</v>
      </c>
      <c r="K77" s="341">
        <v>20760</v>
      </c>
      <c r="L77" s="148" t="s">
        <v>458</v>
      </c>
      <c r="M77" s="166">
        <v>1996</v>
      </c>
      <c r="N77" s="179" t="s">
        <v>35</v>
      </c>
      <c r="O77" s="48" t="s">
        <v>61</v>
      </c>
      <c r="P77" s="27" t="s">
        <v>62</v>
      </c>
      <c r="Q77" s="53"/>
      <c r="R77" s="190" t="s">
        <v>38</v>
      </c>
      <c r="S77" s="194" t="s">
        <v>53</v>
      </c>
      <c r="T77" s="200" t="s">
        <v>459</v>
      </c>
      <c r="U77" s="195">
        <v>2004</v>
      </c>
      <c r="V77" s="196" t="s">
        <v>460</v>
      </c>
      <c r="W77" s="66" t="s">
        <v>66</v>
      </c>
      <c r="X77" s="27" t="s">
        <v>112</v>
      </c>
      <c r="Y77" s="27">
        <v>3696</v>
      </c>
      <c r="Z77" s="148" t="s">
        <v>461</v>
      </c>
      <c r="AA77" s="148" t="s">
        <v>462</v>
      </c>
      <c r="AB77" s="148" t="s">
        <v>463</v>
      </c>
    </row>
    <row r="78" spans="1:28" ht="30" hidden="1" customHeight="1">
      <c r="A78" s="166">
        <f t="shared" si="1"/>
        <v>37</v>
      </c>
      <c r="B78" s="45" t="s">
        <v>464</v>
      </c>
      <c r="C78" s="148" t="s">
        <v>465</v>
      </c>
      <c r="D78" s="148" t="s">
        <v>440</v>
      </c>
      <c r="E78" s="166" t="s">
        <v>441</v>
      </c>
      <c r="F78" s="148" t="s">
        <v>321</v>
      </c>
      <c r="G78" s="148" t="s">
        <v>88</v>
      </c>
      <c r="H78" s="148" t="s">
        <v>382</v>
      </c>
      <c r="I78" s="313">
        <v>25</v>
      </c>
      <c r="J78" s="318">
        <v>25</v>
      </c>
      <c r="K78" s="341">
        <v>25</v>
      </c>
      <c r="L78" s="148" t="s">
        <v>466</v>
      </c>
      <c r="M78" s="166">
        <v>1996</v>
      </c>
      <c r="N78" s="922">
        <v>35208</v>
      </c>
      <c r="O78" s="206" t="s">
        <v>467</v>
      </c>
      <c r="P78" s="27" t="s">
        <v>37</v>
      </c>
      <c r="Q78" s="53"/>
      <c r="R78" s="198" t="s">
        <v>89</v>
      </c>
      <c r="S78" s="198" t="s">
        <v>35</v>
      </c>
      <c r="T78" s="148" t="s">
        <v>35</v>
      </c>
      <c r="U78" s="148" t="s">
        <v>35</v>
      </c>
      <c r="V78" s="148" t="s">
        <v>35</v>
      </c>
      <c r="W78" s="204" t="s">
        <v>66</v>
      </c>
      <c r="X78" s="27" t="s">
        <v>112</v>
      </c>
      <c r="Y78" s="27" t="s">
        <v>67</v>
      </c>
      <c r="Z78" s="148" t="s">
        <v>466</v>
      </c>
      <c r="AA78" s="900"/>
      <c r="AB78" s="900"/>
    </row>
    <row r="79" spans="1:28" ht="30" hidden="1" customHeight="1">
      <c r="A79" s="166">
        <f t="shared" si="1"/>
        <v>38</v>
      </c>
      <c r="B79" s="47" t="s">
        <v>468</v>
      </c>
      <c r="C79" s="148" t="s">
        <v>469</v>
      </c>
      <c r="D79" s="148" t="s">
        <v>440</v>
      </c>
      <c r="E79" s="166" t="s">
        <v>441</v>
      </c>
      <c r="F79" s="148" t="s">
        <v>180</v>
      </c>
      <c r="G79" s="148" t="s">
        <v>415</v>
      </c>
      <c r="H79" s="148" t="s">
        <v>182</v>
      </c>
      <c r="I79" s="313">
        <v>180</v>
      </c>
      <c r="J79" s="318">
        <v>180</v>
      </c>
      <c r="K79" s="341">
        <v>180</v>
      </c>
      <c r="L79" s="148" t="s">
        <v>470</v>
      </c>
      <c r="M79" s="166">
        <v>1996</v>
      </c>
      <c r="N79" s="922">
        <v>35165</v>
      </c>
      <c r="O79" s="206" t="s">
        <v>471</v>
      </c>
      <c r="P79" s="27" t="s">
        <v>37</v>
      </c>
      <c r="Q79" s="53"/>
      <c r="R79" s="198" t="s">
        <v>89</v>
      </c>
      <c r="S79" s="198" t="s">
        <v>35</v>
      </c>
      <c r="T79" s="148" t="s">
        <v>35</v>
      </c>
      <c r="U79" s="148" t="s">
        <v>35</v>
      </c>
      <c r="V79" s="148" t="s">
        <v>35</v>
      </c>
      <c r="W79" s="204" t="s">
        <v>66</v>
      </c>
      <c r="X79" s="27" t="s">
        <v>112</v>
      </c>
      <c r="Y79" s="27" t="s">
        <v>67</v>
      </c>
      <c r="Z79" s="148" t="s">
        <v>470</v>
      </c>
      <c r="AA79" s="900"/>
      <c r="AB79" s="900"/>
    </row>
    <row r="80" spans="1:28" ht="39" hidden="1" customHeight="1">
      <c r="A80" s="166">
        <f t="shared" si="1"/>
        <v>39</v>
      </c>
      <c r="B80" s="45" t="s">
        <v>472</v>
      </c>
      <c r="C80" s="148" t="s">
        <v>473</v>
      </c>
      <c r="D80" s="148" t="s">
        <v>474</v>
      </c>
      <c r="E80" s="166" t="s">
        <v>127</v>
      </c>
      <c r="F80" s="148" t="s">
        <v>210</v>
      </c>
      <c r="G80" s="148" t="s">
        <v>475</v>
      </c>
      <c r="H80" s="148" t="s">
        <v>212</v>
      </c>
      <c r="I80" s="313">
        <v>47433</v>
      </c>
      <c r="J80" s="318">
        <v>47433</v>
      </c>
      <c r="K80" s="341">
        <v>47433</v>
      </c>
      <c r="L80" s="148" t="s">
        <v>476</v>
      </c>
      <c r="M80" s="166">
        <v>1996</v>
      </c>
      <c r="N80" s="179" t="s">
        <v>35</v>
      </c>
      <c r="O80" s="49" t="s">
        <v>477</v>
      </c>
      <c r="P80" s="27" t="s">
        <v>62</v>
      </c>
      <c r="Q80" s="53" t="s">
        <v>478</v>
      </c>
      <c r="R80" s="190" t="s">
        <v>38</v>
      </c>
      <c r="S80" s="194" t="s">
        <v>39</v>
      </c>
      <c r="T80" s="200" t="s">
        <v>479</v>
      </c>
      <c r="U80" s="195">
        <v>2008</v>
      </c>
      <c r="V80" s="195" t="s">
        <v>121</v>
      </c>
      <c r="W80" s="66" t="s">
        <v>66</v>
      </c>
      <c r="X80" s="27" t="s">
        <v>112</v>
      </c>
      <c r="Y80" s="27" t="s">
        <v>67</v>
      </c>
      <c r="Z80" s="148" t="s">
        <v>480</v>
      </c>
      <c r="AA80" s="148" t="s">
        <v>480</v>
      </c>
      <c r="AB80" s="166"/>
    </row>
    <row r="81" spans="1:28" ht="51" hidden="1" customHeight="1">
      <c r="A81" s="166">
        <f t="shared" si="1"/>
        <v>40</v>
      </c>
      <c r="B81" s="47" t="s">
        <v>481</v>
      </c>
      <c r="C81" s="200" t="s">
        <v>482</v>
      </c>
      <c r="D81" s="148" t="s">
        <v>30</v>
      </c>
      <c r="E81" s="166" t="s">
        <v>31</v>
      </c>
      <c r="F81" s="148" t="s">
        <v>180</v>
      </c>
      <c r="G81" s="148" t="s">
        <v>415</v>
      </c>
      <c r="H81" s="148" t="s">
        <v>182</v>
      </c>
      <c r="I81" s="313">
        <v>14301.26</v>
      </c>
      <c r="J81" s="318">
        <v>14301.26</v>
      </c>
      <c r="K81" s="341">
        <v>14301.26</v>
      </c>
      <c r="L81" s="148" t="s">
        <v>483</v>
      </c>
      <c r="M81" s="166">
        <v>1996</v>
      </c>
      <c r="N81" s="179" t="s">
        <v>35</v>
      </c>
      <c r="O81" s="52" t="s">
        <v>191</v>
      </c>
      <c r="P81" s="27" t="s">
        <v>62</v>
      </c>
      <c r="Q81" s="53" t="s">
        <v>63</v>
      </c>
      <c r="R81" s="194" t="s">
        <v>38</v>
      </c>
      <c r="S81" s="194" t="s">
        <v>53</v>
      </c>
      <c r="T81" s="200" t="s">
        <v>484</v>
      </c>
      <c r="U81" s="195">
        <v>2004</v>
      </c>
      <c r="V81" s="196" t="s">
        <v>460</v>
      </c>
      <c r="W81" s="66" t="s">
        <v>42</v>
      </c>
      <c r="X81" s="27" t="s">
        <v>112</v>
      </c>
      <c r="Y81" s="27">
        <v>3622</v>
      </c>
      <c r="Z81" s="148" t="s">
        <v>485</v>
      </c>
      <c r="AA81" s="166" t="s">
        <v>69</v>
      </c>
      <c r="AB81" s="148" t="s">
        <v>486</v>
      </c>
    </row>
    <row r="82" spans="1:28" ht="30" hidden="1" customHeight="1">
      <c r="A82" s="166">
        <f t="shared" si="1"/>
        <v>41</v>
      </c>
      <c r="B82" s="45" t="s">
        <v>487</v>
      </c>
      <c r="C82" s="148" t="s">
        <v>488</v>
      </c>
      <c r="D82" s="148" t="s">
        <v>440</v>
      </c>
      <c r="E82" s="166" t="s">
        <v>441</v>
      </c>
      <c r="F82" s="53" t="s">
        <v>155</v>
      </c>
      <c r="G82" s="148" t="s">
        <v>489</v>
      </c>
      <c r="H82" s="148" t="s">
        <v>490</v>
      </c>
      <c r="I82" s="313">
        <v>250</v>
      </c>
      <c r="J82" s="340">
        <v>0</v>
      </c>
      <c r="K82" s="341">
        <v>250</v>
      </c>
      <c r="L82" s="148" t="s">
        <v>491</v>
      </c>
      <c r="M82" s="166">
        <v>1996</v>
      </c>
      <c r="N82" s="879">
        <v>35222</v>
      </c>
      <c r="O82" s="206" t="s">
        <v>492</v>
      </c>
      <c r="P82" s="27" t="s">
        <v>37</v>
      </c>
      <c r="Q82" s="53"/>
      <c r="R82" s="198" t="s">
        <v>89</v>
      </c>
      <c r="S82" s="198" t="s">
        <v>35</v>
      </c>
      <c r="T82" s="148" t="s">
        <v>35</v>
      </c>
      <c r="U82" s="148" t="s">
        <v>35</v>
      </c>
      <c r="V82" s="148" t="s">
        <v>35</v>
      </c>
      <c r="W82" s="204" t="s">
        <v>66</v>
      </c>
      <c r="X82" s="923" t="s">
        <v>493</v>
      </c>
      <c r="Y82" s="923" t="s">
        <v>67</v>
      </c>
      <c r="Z82" s="148" t="s">
        <v>491</v>
      </c>
      <c r="AA82" s="900"/>
      <c r="AB82" s="900"/>
    </row>
    <row r="83" spans="1:28" ht="30" hidden="1" customHeight="1">
      <c r="A83" s="166">
        <f t="shared" si="1"/>
        <v>42</v>
      </c>
      <c r="B83" s="47" t="s">
        <v>494</v>
      </c>
      <c r="C83" s="148" t="s">
        <v>495</v>
      </c>
      <c r="D83" s="148" t="s">
        <v>496</v>
      </c>
      <c r="E83" s="280" t="s">
        <v>497</v>
      </c>
      <c r="F83" s="53" t="s">
        <v>164</v>
      </c>
      <c r="G83" s="239" t="s">
        <v>498</v>
      </c>
      <c r="H83" s="148" t="s">
        <v>348</v>
      </c>
      <c r="I83" s="313">
        <v>353</v>
      </c>
      <c r="J83" s="318">
        <v>353</v>
      </c>
      <c r="K83" s="341">
        <v>353</v>
      </c>
      <c r="L83" s="148" t="s">
        <v>499</v>
      </c>
      <c r="M83" s="166">
        <v>1996</v>
      </c>
      <c r="N83" s="922">
        <v>35178</v>
      </c>
      <c r="O83" s="53" t="s">
        <v>500</v>
      </c>
      <c r="P83" s="27" t="s">
        <v>37</v>
      </c>
      <c r="Q83" s="53"/>
      <c r="R83" s="198" t="s">
        <v>89</v>
      </c>
      <c r="S83" s="198" t="s">
        <v>35</v>
      </c>
      <c r="T83" s="148" t="s">
        <v>35</v>
      </c>
      <c r="U83" s="148" t="s">
        <v>35</v>
      </c>
      <c r="V83" s="148" t="s">
        <v>35</v>
      </c>
      <c r="W83" s="204" t="s">
        <v>66</v>
      </c>
      <c r="X83" s="27" t="s">
        <v>112</v>
      </c>
      <c r="Y83" s="923" t="s">
        <v>67</v>
      </c>
      <c r="Z83" s="148" t="s">
        <v>499</v>
      </c>
      <c r="AA83" s="900"/>
      <c r="AB83" s="900"/>
    </row>
    <row r="84" spans="1:28" ht="30" hidden="1" customHeight="1">
      <c r="A84" s="166">
        <f t="shared" si="1"/>
        <v>43</v>
      </c>
      <c r="B84" s="45" t="s">
        <v>501</v>
      </c>
      <c r="C84" s="170" t="s">
        <v>502</v>
      </c>
      <c r="D84" s="148" t="s">
        <v>496</v>
      </c>
      <c r="E84" s="280" t="s">
        <v>497</v>
      </c>
      <c r="F84" s="53" t="s">
        <v>164</v>
      </c>
      <c r="G84" s="239" t="s">
        <v>502</v>
      </c>
      <c r="H84" s="148" t="s">
        <v>165</v>
      </c>
      <c r="I84" s="313">
        <v>4325</v>
      </c>
      <c r="J84" s="318">
        <v>4325</v>
      </c>
      <c r="K84" s="341">
        <v>4325</v>
      </c>
      <c r="L84" s="148" t="s">
        <v>503</v>
      </c>
      <c r="M84" s="166">
        <v>1996</v>
      </c>
      <c r="N84" s="922">
        <v>35178</v>
      </c>
      <c r="O84" s="53" t="s">
        <v>504</v>
      </c>
      <c r="P84" s="27" t="s">
        <v>37</v>
      </c>
      <c r="Q84" s="168" t="s">
        <v>63</v>
      </c>
      <c r="R84" s="198" t="s">
        <v>89</v>
      </c>
      <c r="S84" s="199" t="s">
        <v>90</v>
      </c>
      <c r="T84" s="148" t="s">
        <v>35</v>
      </c>
      <c r="U84" s="148" t="s">
        <v>35</v>
      </c>
      <c r="V84" s="148" t="s">
        <v>35</v>
      </c>
      <c r="W84" s="204" t="s">
        <v>66</v>
      </c>
      <c r="X84" s="27" t="s">
        <v>112</v>
      </c>
      <c r="Y84" s="923" t="s">
        <v>67</v>
      </c>
      <c r="Z84" s="148" t="s">
        <v>503</v>
      </c>
      <c r="AA84" s="900"/>
      <c r="AB84" s="900"/>
    </row>
    <row r="85" spans="1:28" ht="53.25" hidden="1" customHeight="1">
      <c r="A85" s="166">
        <f t="shared" si="1"/>
        <v>44</v>
      </c>
      <c r="B85" s="47" t="s">
        <v>505</v>
      </c>
      <c r="C85" s="148" t="s">
        <v>506</v>
      </c>
      <c r="D85" s="148" t="s">
        <v>507</v>
      </c>
      <c r="E85" s="166" t="s">
        <v>127</v>
      </c>
      <c r="F85" s="148" t="s">
        <v>201</v>
      </c>
      <c r="G85" s="148" t="s">
        <v>508</v>
      </c>
      <c r="H85" s="148" t="s">
        <v>509</v>
      </c>
      <c r="I85" s="313">
        <v>5372</v>
      </c>
      <c r="J85" s="318">
        <v>5372</v>
      </c>
      <c r="K85" s="341">
        <v>5372</v>
      </c>
      <c r="L85" s="148" t="s">
        <v>510</v>
      </c>
      <c r="M85" s="166">
        <v>1997</v>
      </c>
      <c r="N85" s="179" t="s">
        <v>35</v>
      </c>
      <c r="O85" s="54" t="s">
        <v>73</v>
      </c>
      <c r="P85" s="27" t="s">
        <v>74</v>
      </c>
      <c r="Q85" s="197"/>
      <c r="R85" s="190" t="s">
        <v>38</v>
      </c>
      <c r="S85" s="194" t="s">
        <v>511</v>
      </c>
      <c r="T85" s="200" t="s">
        <v>512</v>
      </c>
      <c r="U85" s="195">
        <v>2010</v>
      </c>
      <c r="V85" s="196" t="s">
        <v>513</v>
      </c>
      <c r="W85" s="54" t="s">
        <v>66</v>
      </c>
      <c r="X85" s="27" t="s">
        <v>112</v>
      </c>
      <c r="Y85" s="923" t="s">
        <v>67</v>
      </c>
      <c r="Z85" s="11" t="s">
        <v>514</v>
      </c>
      <c r="AA85" s="12" t="s">
        <v>514</v>
      </c>
      <c r="AB85" s="12"/>
    </row>
    <row r="86" spans="1:28" ht="30" hidden="1" customHeight="1">
      <c r="A86" s="166">
        <f t="shared" si="1"/>
        <v>45</v>
      </c>
      <c r="B86" s="45" t="s">
        <v>515</v>
      </c>
      <c r="C86" s="148" t="s">
        <v>516</v>
      </c>
      <c r="D86" s="148" t="s">
        <v>440</v>
      </c>
      <c r="E86" s="166" t="s">
        <v>441</v>
      </c>
      <c r="F86" s="148" t="s">
        <v>321</v>
      </c>
      <c r="G86" s="148" t="s">
        <v>517</v>
      </c>
      <c r="H86" s="148" t="s">
        <v>518</v>
      </c>
      <c r="I86" s="313">
        <v>67</v>
      </c>
      <c r="J86" s="318">
        <v>67</v>
      </c>
      <c r="K86" s="341">
        <v>67</v>
      </c>
      <c r="L86" s="148" t="s">
        <v>519</v>
      </c>
      <c r="M86" s="166">
        <v>1997</v>
      </c>
      <c r="N86" s="879">
        <v>35641</v>
      </c>
      <c r="O86" s="206" t="s">
        <v>520</v>
      </c>
      <c r="P86" s="27" t="s">
        <v>37</v>
      </c>
      <c r="Q86" s="53"/>
      <c r="R86" s="198" t="s">
        <v>89</v>
      </c>
      <c r="S86" s="198" t="s">
        <v>35</v>
      </c>
      <c r="T86" s="148" t="s">
        <v>35</v>
      </c>
      <c r="U86" s="148" t="s">
        <v>35</v>
      </c>
      <c r="V86" s="148" t="s">
        <v>35</v>
      </c>
      <c r="W86" s="204" t="s">
        <v>66</v>
      </c>
      <c r="X86" s="27" t="s">
        <v>112</v>
      </c>
      <c r="Y86" s="923" t="s">
        <v>67</v>
      </c>
      <c r="Z86" s="148" t="s">
        <v>519</v>
      </c>
      <c r="AA86" s="900"/>
      <c r="AB86" s="900"/>
    </row>
    <row r="87" spans="1:28" ht="30" hidden="1" customHeight="1">
      <c r="A87" s="166">
        <f t="shared" si="1"/>
        <v>46</v>
      </c>
      <c r="B87" s="47" t="s">
        <v>521</v>
      </c>
      <c r="C87" s="148" t="s">
        <v>522</v>
      </c>
      <c r="D87" s="148" t="s">
        <v>440</v>
      </c>
      <c r="E87" s="166" t="s">
        <v>441</v>
      </c>
      <c r="F87" s="148" t="s">
        <v>188</v>
      </c>
      <c r="G87" s="148" t="s">
        <v>270</v>
      </c>
      <c r="H87" s="148" t="s">
        <v>190</v>
      </c>
      <c r="I87" s="313">
        <v>81</v>
      </c>
      <c r="J87" s="318">
        <v>81</v>
      </c>
      <c r="K87" s="341">
        <v>81</v>
      </c>
      <c r="L87" s="148" t="s">
        <v>523</v>
      </c>
      <c r="M87" s="166">
        <v>1997</v>
      </c>
      <c r="N87" s="879">
        <v>35633</v>
      </c>
      <c r="O87" s="206" t="s">
        <v>524</v>
      </c>
      <c r="P87" s="27" t="s">
        <v>37</v>
      </c>
      <c r="Q87" s="53"/>
      <c r="R87" s="198" t="s">
        <v>89</v>
      </c>
      <c r="S87" s="198" t="s">
        <v>35</v>
      </c>
      <c r="T87" s="148" t="s">
        <v>35</v>
      </c>
      <c r="U87" s="148" t="s">
        <v>35</v>
      </c>
      <c r="V87" s="148" t="s">
        <v>35</v>
      </c>
      <c r="W87" s="204" t="s">
        <v>66</v>
      </c>
      <c r="X87" s="27" t="s">
        <v>112</v>
      </c>
      <c r="Y87" s="923" t="s">
        <v>67</v>
      </c>
      <c r="Z87" s="148" t="s">
        <v>523</v>
      </c>
      <c r="AA87" s="900"/>
      <c r="AB87" s="900"/>
    </row>
    <row r="88" spans="1:28" ht="30" hidden="1" customHeight="1">
      <c r="A88" s="166">
        <f t="shared" si="1"/>
        <v>47</v>
      </c>
      <c r="B88" s="45" t="s">
        <v>525</v>
      </c>
      <c r="C88" s="148" t="s">
        <v>526</v>
      </c>
      <c r="D88" s="148" t="s">
        <v>496</v>
      </c>
      <c r="E88" s="280" t="s">
        <v>497</v>
      </c>
      <c r="F88" s="53" t="s">
        <v>164</v>
      </c>
      <c r="G88" s="239" t="s">
        <v>222</v>
      </c>
      <c r="H88" s="148" t="s">
        <v>222</v>
      </c>
      <c r="I88" s="313">
        <v>11377</v>
      </c>
      <c r="J88" s="318">
        <v>11377</v>
      </c>
      <c r="K88" s="341">
        <v>11377</v>
      </c>
      <c r="L88" s="148" t="s">
        <v>527</v>
      </c>
      <c r="M88" s="166">
        <v>1997</v>
      </c>
      <c r="N88" s="887">
        <v>35681</v>
      </c>
      <c r="O88" s="53" t="s">
        <v>528</v>
      </c>
      <c r="P88" s="27" t="s">
        <v>37</v>
      </c>
      <c r="Q88" s="53"/>
      <c r="R88" s="198" t="s">
        <v>89</v>
      </c>
      <c r="S88" s="198" t="s">
        <v>35</v>
      </c>
      <c r="T88" s="148" t="s">
        <v>35</v>
      </c>
      <c r="U88" s="148" t="s">
        <v>35</v>
      </c>
      <c r="V88" s="148" t="s">
        <v>35</v>
      </c>
      <c r="W88" s="204" t="s">
        <v>66</v>
      </c>
      <c r="X88" s="27" t="s">
        <v>112</v>
      </c>
      <c r="Y88" s="923" t="s">
        <v>67</v>
      </c>
      <c r="Z88" s="148" t="s">
        <v>527</v>
      </c>
      <c r="AA88" s="900"/>
      <c r="AB88" s="900"/>
    </row>
    <row r="89" spans="1:28" ht="30" hidden="1" customHeight="1">
      <c r="A89" s="166">
        <f t="shared" si="1"/>
        <v>48</v>
      </c>
      <c r="B89" s="47" t="s">
        <v>529</v>
      </c>
      <c r="C89" s="148" t="s">
        <v>530</v>
      </c>
      <c r="D89" s="148" t="s">
        <v>440</v>
      </c>
      <c r="E89" s="166" t="s">
        <v>441</v>
      </c>
      <c r="F89" s="148" t="s">
        <v>210</v>
      </c>
      <c r="G89" s="148" t="s">
        <v>211</v>
      </c>
      <c r="H89" s="148" t="s">
        <v>212</v>
      </c>
      <c r="I89" s="313">
        <v>136</v>
      </c>
      <c r="J89" s="318">
        <v>136</v>
      </c>
      <c r="K89" s="341">
        <v>136</v>
      </c>
      <c r="L89" s="148" t="s">
        <v>531</v>
      </c>
      <c r="M89" s="166">
        <v>1997</v>
      </c>
      <c r="N89" s="879">
        <v>35776</v>
      </c>
      <c r="O89" s="206" t="s">
        <v>532</v>
      </c>
      <c r="P89" s="27" t="s">
        <v>37</v>
      </c>
      <c r="Q89" s="53"/>
      <c r="R89" s="198" t="s">
        <v>89</v>
      </c>
      <c r="S89" s="198" t="s">
        <v>35</v>
      </c>
      <c r="T89" s="148" t="s">
        <v>35</v>
      </c>
      <c r="U89" s="148" t="s">
        <v>35</v>
      </c>
      <c r="V89" s="148" t="s">
        <v>35</v>
      </c>
      <c r="W89" s="204" t="s">
        <v>66</v>
      </c>
      <c r="X89" s="27" t="s">
        <v>112</v>
      </c>
      <c r="Y89" s="923" t="s">
        <v>67</v>
      </c>
      <c r="Z89" s="148" t="s">
        <v>531</v>
      </c>
      <c r="AA89" s="900"/>
      <c r="AB89" s="900"/>
    </row>
    <row r="90" spans="1:28" ht="30" hidden="1" customHeight="1">
      <c r="A90" s="166">
        <f t="shared" si="1"/>
        <v>49</v>
      </c>
      <c r="B90" s="45" t="s">
        <v>533</v>
      </c>
      <c r="C90" s="148" t="s">
        <v>534</v>
      </c>
      <c r="D90" s="148" t="s">
        <v>105</v>
      </c>
      <c r="E90" s="166" t="s">
        <v>106</v>
      </c>
      <c r="F90" s="53" t="s">
        <v>535</v>
      </c>
      <c r="G90" s="148" t="s">
        <v>536</v>
      </c>
      <c r="H90" s="148" t="s">
        <v>537</v>
      </c>
      <c r="I90" s="313">
        <v>45000</v>
      </c>
      <c r="J90" s="318">
        <v>45000</v>
      </c>
      <c r="K90" s="341">
        <v>45000</v>
      </c>
      <c r="L90" s="148" t="s">
        <v>538</v>
      </c>
      <c r="M90" s="166">
        <v>1997</v>
      </c>
      <c r="N90" s="179" t="s">
        <v>35</v>
      </c>
      <c r="O90" s="54" t="s">
        <v>73</v>
      </c>
      <c r="P90" s="27" t="s">
        <v>74</v>
      </c>
      <c r="Q90" s="197"/>
      <c r="R90" s="198" t="s">
        <v>89</v>
      </c>
      <c r="S90" s="198" t="s">
        <v>35</v>
      </c>
      <c r="T90" s="148" t="s">
        <v>35</v>
      </c>
      <c r="U90" s="148" t="s">
        <v>35</v>
      </c>
      <c r="V90" s="148" t="s">
        <v>35</v>
      </c>
      <c r="W90" s="204" t="s">
        <v>66</v>
      </c>
      <c r="X90" s="27" t="s">
        <v>112</v>
      </c>
      <c r="Y90" s="923" t="s">
        <v>67</v>
      </c>
      <c r="Z90" s="11" t="s">
        <v>539</v>
      </c>
      <c r="AA90" s="12" t="s">
        <v>539</v>
      </c>
      <c r="AB90" s="12"/>
    </row>
    <row r="91" spans="1:28" ht="30" hidden="1" customHeight="1">
      <c r="A91" s="166">
        <f t="shared" si="1"/>
        <v>50</v>
      </c>
      <c r="B91" s="47" t="s">
        <v>540</v>
      </c>
      <c r="C91" s="148" t="s">
        <v>541</v>
      </c>
      <c r="D91" s="148" t="s">
        <v>440</v>
      </c>
      <c r="E91" s="166" t="s">
        <v>441</v>
      </c>
      <c r="F91" s="148" t="s">
        <v>321</v>
      </c>
      <c r="G91" s="148" t="s">
        <v>542</v>
      </c>
      <c r="H91" s="148" t="s">
        <v>543</v>
      </c>
      <c r="I91" s="313">
        <v>1243</v>
      </c>
      <c r="J91" s="318">
        <v>1243</v>
      </c>
      <c r="K91" s="341">
        <v>1243</v>
      </c>
      <c r="L91" s="148" t="s">
        <v>544</v>
      </c>
      <c r="M91" s="166">
        <v>1998</v>
      </c>
      <c r="N91" s="879">
        <v>36081</v>
      </c>
      <c r="O91" s="206" t="s">
        <v>545</v>
      </c>
      <c r="P91" s="27" t="s">
        <v>37</v>
      </c>
      <c r="Q91" s="53"/>
      <c r="R91" s="198" t="s">
        <v>89</v>
      </c>
      <c r="S91" s="198" t="s">
        <v>35</v>
      </c>
      <c r="T91" s="148" t="s">
        <v>35</v>
      </c>
      <c r="U91" s="148" t="s">
        <v>35</v>
      </c>
      <c r="V91" s="148" t="s">
        <v>35</v>
      </c>
      <c r="W91" s="204" t="s">
        <v>66</v>
      </c>
      <c r="X91" s="27" t="s">
        <v>112</v>
      </c>
      <c r="Y91" s="923" t="s">
        <v>67</v>
      </c>
      <c r="Z91" s="148" t="s">
        <v>544</v>
      </c>
      <c r="AA91" s="900"/>
      <c r="AB91" s="900"/>
    </row>
    <row r="92" spans="1:28" ht="40.5" hidden="1" customHeight="1">
      <c r="A92" s="166">
        <f t="shared" si="1"/>
        <v>51</v>
      </c>
      <c r="B92" s="45" t="s">
        <v>546</v>
      </c>
      <c r="C92" s="148" t="s">
        <v>547</v>
      </c>
      <c r="D92" s="148" t="s">
        <v>496</v>
      </c>
      <c r="E92" s="280" t="s">
        <v>497</v>
      </c>
      <c r="F92" s="53" t="s">
        <v>164</v>
      </c>
      <c r="G92" s="239" t="s">
        <v>165</v>
      </c>
      <c r="H92" s="148" t="s">
        <v>165</v>
      </c>
      <c r="I92" s="313">
        <v>5615.43</v>
      </c>
      <c r="J92" s="318">
        <v>5615.43</v>
      </c>
      <c r="K92" s="820">
        <v>5615.43</v>
      </c>
      <c r="L92" s="148" t="s">
        <v>548</v>
      </c>
      <c r="M92" s="166">
        <v>1998</v>
      </c>
      <c r="N92" s="887">
        <v>36040</v>
      </c>
      <c r="O92" s="53" t="s">
        <v>549</v>
      </c>
      <c r="P92" s="27" t="s">
        <v>37</v>
      </c>
      <c r="Q92" s="53"/>
      <c r="R92" s="198" t="s">
        <v>89</v>
      </c>
      <c r="S92" s="198" t="s">
        <v>35</v>
      </c>
      <c r="T92" s="148" t="s">
        <v>35</v>
      </c>
      <c r="U92" s="148" t="s">
        <v>35</v>
      </c>
      <c r="V92" s="148" t="s">
        <v>35</v>
      </c>
      <c r="W92" s="204" t="s">
        <v>66</v>
      </c>
      <c r="X92" s="27" t="s">
        <v>112</v>
      </c>
      <c r="Y92" s="923" t="s">
        <v>67</v>
      </c>
      <c r="Z92" s="148" t="s">
        <v>548</v>
      </c>
      <c r="AA92" s="900"/>
      <c r="AB92" s="900"/>
    </row>
    <row r="93" spans="1:28" ht="38.25" hidden="1" customHeight="1">
      <c r="A93" s="166">
        <f t="shared" si="1"/>
        <v>52</v>
      </c>
      <c r="B93" s="47" t="s">
        <v>550</v>
      </c>
      <c r="C93" s="200" t="s">
        <v>551</v>
      </c>
      <c r="D93" s="148" t="s">
        <v>403</v>
      </c>
      <c r="E93" s="166" t="s">
        <v>127</v>
      </c>
      <c r="F93" s="148" t="s">
        <v>188</v>
      </c>
      <c r="G93" s="148" t="s">
        <v>552</v>
      </c>
      <c r="H93" s="148" t="s">
        <v>553</v>
      </c>
      <c r="I93" s="313">
        <v>2012</v>
      </c>
      <c r="J93" s="318">
        <v>2012</v>
      </c>
      <c r="K93" s="341">
        <v>2012</v>
      </c>
      <c r="L93" s="148" t="s">
        <v>554</v>
      </c>
      <c r="M93" s="166">
        <v>1998</v>
      </c>
      <c r="N93" s="179" t="s">
        <v>35</v>
      </c>
      <c r="O93" s="48" t="s">
        <v>555</v>
      </c>
      <c r="P93" s="27" t="s">
        <v>62</v>
      </c>
      <c r="Q93" s="53" t="s">
        <v>63</v>
      </c>
      <c r="R93" s="190" t="s">
        <v>38</v>
      </c>
      <c r="S93" s="194" t="s">
        <v>39</v>
      </c>
      <c r="T93" s="200" t="s">
        <v>556</v>
      </c>
      <c r="U93" s="195">
        <v>2001</v>
      </c>
      <c r="V93" s="196" t="s">
        <v>557</v>
      </c>
      <c r="W93" s="66" t="s">
        <v>66</v>
      </c>
      <c r="X93" s="27" t="s">
        <v>112</v>
      </c>
      <c r="Y93" s="923" t="s">
        <v>67</v>
      </c>
      <c r="Z93" s="148" t="s">
        <v>554</v>
      </c>
      <c r="AA93" s="148" t="s">
        <v>558</v>
      </c>
      <c r="AB93" s="148" t="s">
        <v>559</v>
      </c>
    </row>
    <row r="94" spans="1:28" ht="30" hidden="1" customHeight="1">
      <c r="A94" s="166">
        <f t="shared" si="1"/>
        <v>53</v>
      </c>
      <c r="B94" s="45" t="s">
        <v>560</v>
      </c>
      <c r="C94" s="148" t="s">
        <v>561</v>
      </c>
      <c r="D94" s="148" t="s">
        <v>440</v>
      </c>
      <c r="E94" s="166" t="s">
        <v>441</v>
      </c>
      <c r="F94" s="148" t="s">
        <v>180</v>
      </c>
      <c r="G94" s="148" t="s">
        <v>562</v>
      </c>
      <c r="H94" s="148" t="s">
        <v>182</v>
      </c>
      <c r="I94" s="313">
        <v>1366</v>
      </c>
      <c r="J94" s="318">
        <v>1366</v>
      </c>
      <c r="K94" s="341">
        <v>1366</v>
      </c>
      <c r="L94" s="148" t="s">
        <v>563</v>
      </c>
      <c r="M94" s="166">
        <v>1999</v>
      </c>
      <c r="N94" s="879">
        <v>36356</v>
      </c>
      <c r="O94" s="206" t="s">
        <v>564</v>
      </c>
      <c r="P94" s="27" t="s">
        <v>37</v>
      </c>
      <c r="Q94" s="53"/>
      <c r="R94" s="190" t="s">
        <v>38</v>
      </c>
      <c r="S94" s="194" t="s">
        <v>39</v>
      </c>
      <c r="T94" s="200" t="s">
        <v>565</v>
      </c>
      <c r="U94" s="200">
        <v>2007</v>
      </c>
      <c r="V94" s="196" t="s">
        <v>77</v>
      </c>
      <c r="W94" s="204" t="s">
        <v>66</v>
      </c>
      <c r="X94" s="27" t="s">
        <v>112</v>
      </c>
      <c r="Y94" s="923" t="s">
        <v>67</v>
      </c>
      <c r="Z94" s="148" t="s">
        <v>563</v>
      </c>
      <c r="AA94" s="900" t="s">
        <v>566</v>
      </c>
      <c r="AB94" s="166" t="s">
        <v>567</v>
      </c>
    </row>
    <row r="95" spans="1:28" ht="30" hidden="1" customHeight="1">
      <c r="A95" s="166">
        <f t="shared" si="1"/>
        <v>54</v>
      </c>
      <c r="B95" s="47" t="s">
        <v>568</v>
      </c>
      <c r="C95" s="148" t="s">
        <v>569</v>
      </c>
      <c r="D95" s="148" t="s">
        <v>440</v>
      </c>
      <c r="E95" s="166" t="s">
        <v>441</v>
      </c>
      <c r="F95" s="53" t="s">
        <v>155</v>
      </c>
      <c r="G95" s="148" t="s">
        <v>489</v>
      </c>
      <c r="H95" s="148" t="s">
        <v>490</v>
      </c>
      <c r="I95" s="313">
        <v>205.6</v>
      </c>
      <c r="J95" s="340">
        <v>0</v>
      </c>
      <c r="K95" s="341">
        <v>205.6</v>
      </c>
      <c r="L95" s="148" t="s">
        <v>570</v>
      </c>
      <c r="M95" s="166">
        <v>1999</v>
      </c>
      <c r="N95" s="879" t="s">
        <v>571</v>
      </c>
      <c r="O95" s="206" t="s">
        <v>572</v>
      </c>
      <c r="P95" s="27" t="s">
        <v>37</v>
      </c>
      <c r="Q95" s="53"/>
      <c r="R95" s="198" t="s">
        <v>89</v>
      </c>
      <c r="S95" s="198" t="s">
        <v>35</v>
      </c>
      <c r="T95" s="148" t="s">
        <v>35</v>
      </c>
      <c r="U95" s="148" t="s">
        <v>35</v>
      </c>
      <c r="V95" s="148" t="s">
        <v>35</v>
      </c>
      <c r="W95" s="204" t="s">
        <v>66</v>
      </c>
      <c r="X95" s="27" t="s">
        <v>493</v>
      </c>
      <c r="Y95" s="923" t="s">
        <v>67</v>
      </c>
      <c r="Z95" s="148" t="s">
        <v>573</v>
      </c>
      <c r="AA95" s="166" t="s">
        <v>91</v>
      </c>
      <c r="AB95" s="166" t="s">
        <v>567</v>
      </c>
    </row>
    <row r="96" spans="1:28" ht="38.25" hidden="1" customHeight="1">
      <c r="A96" s="166">
        <f t="shared" si="1"/>
        <v>55</v>
      </c>
      <c r="B96" s="45" t="s">
        <v>574</v>
      </c>
      <c r="C96" s="200" t="s">
        <v>575</v>
      </c>
      <c r="D96" s="148" t="s">
        <v>576</v>
      </c>
      <c r="E96" s="280" t="s">
        <v>497</v>
      </c>
      <c r="F96" s="148" t="s">
        <v>188</v>
      </c>
      <c r="G96" s="239" t="s">
        <v>577</v>
      </c>
      <c r="H96" s="148" t="s">
        <v>262</v>
      </c>
      <c r="I96" s="313">
        <v>2673</v>
      </c>
      <c r="J96" s="318">
        <v>2673</v>
      </c>
      <c r="K96" s="341">
        <v>2673</v>
      </c>
      <c r="L96" s="148" t="s">
        <v>578</v>
      </c>
      <c r="M96" s="166">
        <v>1999</v>
      </c>
      <c r="N96" s="179" t="s">
        <v>35</v>
      </c>
      <c r="O96" s="54" t="s">
        <v>73</v>
      </c>
      <c r="P96" s="27" t="s">
        <v>74</v>
      </c>
      <c r="Q96" s="197"/>
      <c r="R96" s="190" t="s">
        <v>38</v>
      </c>
      <c r="S96" s="194" t="s">
        <v>53</v>
      </c>
      <c r="T96" s="200" t="s">
        <v>579</v>
      </c>
      <c r="U96" s="195">
        <v>2008</v>
      </c>
      <c r="V96" s="195" t="s">
        <v>121</v>
      </c>
      <c r="W96" s="66" t="s">
        <v>66</v>
      </c>
      <c r="X96" s="27" t="s">
        <v>112</v>
      </c>
      <c r="Y96" s="923" t="s">
        <v>67</v>
      </c>
      <c r="Z96" s="148" t="s">
        <v>580</v>
      </c>
      <c r="AA96" s="166" t="s">
        <v>69</v>
      </c>
      <c r="AB96" s="166" t="s">
        <v>581</v>
      </c>
    </row>
    <row r="97" spans="1:28" ht="30" hidden="1" customHeight="1">
      <c r="A97" s="166">
        <f t="shared" si="1"/>
        <v>56</v>
      </c>
      <c r="B97" s="47" t="s">
        <v>582</v>
      </c>
      <c r="C97" s="148" t="s">
        <v>583</v>
      </c>
      <c r="D97" s="148" t="s">
        <v>496</v>
      </c>
      <c r="E97" s="280" t="s">
        <v>497</v>
      </c>
      <c r="F97" s="53" t="s">
        <v>155</v>
      </c>
      <c r="G97" s="239" t="s">
        <v>374</v>
      </c>
      <c r="H97" s="148" t="s">
        <v>197</v>
      </c>
      <c r="I97" s="313">
        <v>1706.25</v>
      </c>
      <c r="J97" s="318">
        <v>1706.25</v>
      </c>
      <c r="K97" s="341">
        <v>1706.25</v>
      </c>
      <c r="L97" s="148" t="s">
        <v>584</v>
      </c>
      <c r="M97" s="166">
        <v>2000</v>
      </c>
      <c r="N97" s="887">
        <v>36600</v>
      </c>
      <c r="O97" s="53" t="s">
        <v>585</v>
      </c>
      <c r="P97" s="27" t="s">
        <v>37</v>
      </c>
      <c r="Q97" s="53"/>
      <c r="R97" s="198" t="s">
        <v>89</v>
      </c>
      <c r="S97" s="198" t="s">
        <v>35</v>
      </c>
      <c r="T97" s="148" t="s">
        <v>35</v>
      </c>
      <c r="U97" s="148" t="s">
        <v>35</v>
      </c>
      <c r="V97" s="148" t="s">
        <v>35</v>
      </c>
      <c r="W97" s="204" t="s">
        <v>66</v>
      </c>
      <c r="X97" s="27" t="s">
        <v>112</v>
      </c>
      <c r="Y97" s="923" t="s">
        <v>67</v>
      </c>
      <c r="Z97" s="148" t="s">
        <v>584</v>
      </c>
      <c r="AA97" s="166" t="s">
        <v>91</v>
      </c>
      <c r="AB97" s="166"/>
    </row>
    <row r="98" spans="1:28" ht="30" hidden="1" customHeight="1">
      <c r="A98" s="166">
        <f t="shared" si="1"/>
        <v>57</v>
      </c>
      <c r="B98" s="45" t="s">
        <v>586</v>
      </c>
      <c r="C98" s="148" t="s">
        <v>587</v>
      </c>
      <c r="D98" s="148" t="s">
        <v>440</v>
      </c>
      <c r="E98" s="166" t="s">
        <v>441</v>
      </c>
      <c r="F98" s="148" t="s">
        <v>180</v>
      </c>
      <c r="G98" s="148" t="s">
        <v>562</v>
      </c>
      <c r="H98" s="148" t="s">
        <v>182</v>
      </c>
      <c r="I98" s="313">
        <v>685</v>
      </c>
      <c r="J98" s="318">
        <v>685</v>
      </c>
      <c r="K98" s="341">
        <v>685</v>
      </c>
      <c r="L98" s="148" t="s">
        <v>588</v>
      </c>
      <c r="M98" s="166">
        <v>2000</v>
      </c>
      <c r="N98" s="879">
        <v>36847</v>
      </c>
      <c r="O98" s="206" t="s">
        <v>589</v>
      </c>
      <c r="P98" s="27" t="s">
        <v>37</v>
      </c>
      <c r="Q98" s="898"/>
      <c r="R98" s="198" t="s">
        <v>89</v>
      </c>
      <c r="S98" s="198" t="s">
        <v>35</v>
      </c>
      <c r="T98" s="148" t="s">
        <v>35</v>
      </c>
      <c r="U98" s="148" t="s">
        <v>35</v>
      </c>
      <c r="V98" s="148" t="s">
        <v>35</v>
      </c>
      <c r="W98" s="204" t="s">
        <v>66</v>
      </c>
      <c r="X98" s="27" t="s">
        <v>112</v>
      </c>
      <c r="Y98" s="923" t="s">
        <v>67</v>
      </c>
      <c r="Z98" s="148" t="s">
        <v>588</v>
      </c>
      <c r="AA98" s="166" t="s">
        <v>91</v>
      </c>
      <c r="AB98" s="166"/>
    </row>
    <row r="99" spans="1:28" ht="30" hidden="1" customHeight="1">
      <c r="A99" s="166">
        <f t="shared" si="1"/>
        <v>58</v>
      </c>
      <c r="B99" s="47" t="s">
        <v>590</v>
      </c>
      <c r="C99" s="148" t="s">
        <v>591</v>
      </c>
      <c r="D99" s="148" t="s">
        <v>440</v>
      </c>
      <c r="E99" s="166" t="s">
        <v>441</v>
      </c>
      <c r="F99" s="148" t="s">
        <v>188</v>
      </c>
      <c r="G99" s="148" t="s">
        <v>592</v>
      </c>
      <c r="H99" s="148" t="s">
        <v>190</v>
      </c>
      <c r="I99" s="313">
        <v>475</v>
      </c>
      <c r="J99" s="318">
        <v>475</v>
      </c>
      <c r="K99" s="341">
        <v>475</v>
      </c>
      <c r="L99" s="148" t="s">
        <v>593</v>
      </c>
      <c r="M99" s="166">
        <v>2000</v>
      </c>
      <c r="N99" s="879">
        <v>36626</v>
      </c>
      <c r="O99" s="206" t="s">
        <v>594</v>
      </c>
      <c r="P99" s="27" t="s">
        <v>37</v>
      </c>
      <c r="Q99" s="53"/>
      <c r="R99" s="190" t="s">
        <v>38</v>
      </c>
      <c r="S99" s="194" t="s">
        <v>39</v>
      </c>
      <c r="T99" s="200" t="s">
        <v>595</v>
      </c>
      <c r="U99" s="200">
        <v>2007</v>
      </c>
      <c r="V99" s="200" t="s">
        <v>77</v>
      </c>
      <c r="W99" s="204" t="s">
        <v>66</v>
      </c>
      <c r="X99" s="27" t="s">
        <v>112</v>
      </c>
      <c r="Y99" s="27" t="s">
        <v>67</v>
      </c>
      <c r="Z99" s="148" t="s">
        <v>593</v>
      </c>
      <c r="AA99" s="900"/>
      <c r="AB99" s="900"/>
    </row>
    <row r="100" spans="1:28" ht="30" hidden="1" customHeight="1">
      <c r="A100" s="166">
        <f t="shared" si="1"/>
        <v>59</v>
      </c>
      <c r="B100" s="45" t="s">
        <v>596</v>
      </c>
      <c r="C100" s="148" t="s">
        <v>597</v>
      </c>
      <c r="D100" s="148" t="s">
        <v>440</v>
      </c>
      <c r="E100" s="166" t="s">
        <v>441</v>
      </c>
      <c r="F100" s="148" t="s">
        <v>321</v>
      </c>
      <c r="G100" s="148" t="s">
        <v>598</v>
      </c>
      <c r="H100" s="148" t="s">
        <v>382</v>
      </c>
      <c r="I100" s="313">
        <v>180</v>
      </c>
      <c r="J100" s="318">
        <v>180</v>
      </c>
      <c r="K100" s="341">
        <v>180</v>
      </c>
      <c r="L100" s="148" t="s">
        <v>599</v>
      </c>
      <c r="M100" s="166">
        <v>2001</v>
      </c>
      <c r="N100" s="879">
        <v>37076</v>
      </c>
      <c r="O100" s="206" t="s">
        <v>600</v>
      </c>
      <c r="P100" s="27" t="s">
        <v>37</v>
      </c>
      <c r="Q100" s="53"/>
      <c r="R100" s="198" t="s">
        <v>89</v>
      </c>
      <c r="S100" s="198" t="s">
        <v>35</v>
      </c>
      <c r="T100" s="148" t="s">
        <v>35</v>
      </c>
      <c r="U100" s="148" t="s">
        <v>35</v>
      </c>
      <c r="V100" s="148" t="s">
        <v>35</v>
      </c>
      <c r="W100" s="204" t="s">
        <v>66</v>
      </c>
      <c r="X100" s="27" t="s">
        <v>112</v>
      </c>
      <c r="Y100" s="27" t="s">
        <v>67</v>
      </c>
      <c r="Z100" s="148" t="s">
        <v>599</v>
      </c>
      <c r="AA100" s="166" t="s">
        <v>91</v>
      </c>
      <c r="AB100" s="166"/>
    </row>
    <row r="101" spans="1:28" ht="30" hidden="1" customHeight="1">
      <c r="A101" s="166">
        <f t="shared" si="1"/>
        <v>60</v>
      </c>
      <c r="B101" s="47" t="s">
        <v>601</v>
      </c>
      <c r="C101" s="148" t="s">
        <v>602</v>
      </c>
      <c r="D101" s="148" t="s">
        <v>440</v>
      </c>
      <c r="E101" s="166" t="s">
        <v>441</v>
      </c>
      <c r="F101" s="148" t="s">
        <v>180</v>
      </c>
      <c r="G101" s="148" t="s">
        <v>603</v>
      </c>
      <c r="H101" s="148" t="s">
        <v>394</v>
      </c>
      <c r="I101" s="313">
        <v>585</v>
      </c>
      <c r="J101" s="318">
        <v>585</v>
      </c>
      <c r="K101" s="341">
        <v>585</v>
      </c>
      <c r="L101" s="148" t="s">
        <v>604</v>
      </c>
      <c r="M101" s="166">
        <v>2001</v>
      </c>
      <c r="N101" s="879">
        <v>37210</v>
      </c>
      <c r="O101" s="206" t="s">
        <v>605</v>
      </c>
      <c r="P101" s="27" t="s">
        <v>37</v>
      </c>
      <c r="Q101" s="53"/>
      <c r="R101" s="198" t="s">
        <v>89</v>
      </c>
      <c r="S101" s="198" t="s">
        <v>35</v>
      </c>
      <c r="T101" s="148" t="s">
        <v>35</v>
      </c>
      <c r="U101" s="148" t="s">
        <v>35</v>
      </c>
      <c r="V101" s="148" t="s">
        <v>35</v>
      </c>
      <c r="W101" s="204" t="s">
        <v>66</v>
      </c>
      <c r="X101" s="27" t="s">
        <v>112</v>
      </c>
      <c r="Y101" s="27" t="s">
        <v>67</v>
      </c>
      <c r="Z101" s="148" t="s">
        <v>604</v>
      </c>
      <c r="AA101" s="166" t="s">
        <v>91</v>
      </c>
      <c r="AB101" s="166"/>
    </row>
    <row r="102" spans="1:28" ht="30" hidden="1" customHeight="1">
      <c r="A102" s="166">
        <f t="shared" si="1"/>
        <v>61</v>
      </c>
      <c r="B102" s="45" t="s">
        <v>606</v>
      </c>
      <c r="C102" s="148" t="s">
        <v>607</v>
      </c>
      <c r="D102" s="148" t="s">
        <v>440</v>
      </c>
      <c r="E102" s="166" t="s">
        <v>441</v>
      </c>
      <c r="F102" s="148" t="s">
        <v>180</v>
      </c>
      <c r="G102" s="148" t="s">
        <v>415</v>
      </c>
      <c r="H102" s="148" t="s">
        <v>182</v>
      </c>
      <c r="I102" s="313">
        <v>976.5</v>
      </c>
      <c r="J102" s="318">
        <v>976.5</v>
      </c>
      <c r="K102" s="341">
        <v>976.5</v>
      </c>
      <c r="L102" s="148" t="s">
        <v>608</v>
      </c>
      <c r="M102" s="166">
        <v>2001</v>
      </c>
      <c r="N102" s="879">
        <v>37089</v>
      </c>
      <c r="O102" s="206" t="s">
        <v>609</v>
      </c>
      <c r="P102" s="27" t="s">
        <v>37</v>
      </c>
      <c r="Q102" s="53"/>
      <c r="R102" s="198" t="s">
        <v>89</v>
      </c>
      <c r="S102" s="198" t="s">
        <v>35</v>
      </c>
      <c r="T102" s="148" t="s">
        <v>35</v>
      </c>
      <c r="U102" s="148" t="s">
        <v>35</v>
      </c>
      <c r="V102" s="148" t="s">
        <v>35</v>
      </c>
      <c r="W102" s="204" t="s">
        <v>66</v>
      </c>
      <c r="X102" s="27" t="s">
        <v>112</v>
      </c>
      <c r="Y102" s="27">
        <v>2922</v>
      </c>
      <c r="Z102" s="148" t="s">
        <v>608</v>
      </c>
      <c r="AA102" s="166" t="s">
        <v>91</v>
      </c>
      <c r="AB102" s="166"/>
    </row>
    <row r="103" spans="1:28" ht="30" hidden="1" customHeight="1">
      <c r="A103" s="166">
        <f t="shared" si="1"/>
        <v>62</v>
      </c>
      <c r="B103" s="47" t="s">
        <v>610</v>
      </c>
      <c r="C103" s="148" t="s">
        <v>611</v>
      </c>
      <c r="D103" s="148" t="s">
        <v>440</v>
      </c>
      <c r="E103" s="166" t="s">
        <v>441</v>
      </c>
      <c r="F103" s="148" t="s">
        <v>321</v>
      </c>
      <c r="G103" s="148" t="s">
        <v>612</v>
      </c>
      <c r="H103" s="148" t="s">
        <v>613</v>
      </c>
      <c r="I103" s="313">
        <v>76.709999999999994</v>
      </c>
      <c r="J103" s="340">
        <v>0</v>
      </c>
      <c r="K103" s="341">
        <v>76.709999999999994</v>
      </c>
      <c r="L103" s="148" t="s">
        <v>614</v>
      </c>
      <c r="M103" s="166">
        <v>2001</v>
      </c>
      <c r="N103" s="879">
        <v>37095</v>
      </c>
      <c r="O103" s="206" t="s">
        <v>615</v>
      </c>
      <c r="P103" s="27" t="s">
        <v>37</v>
      </c>
      <c r="Q103" s="53"/>
      <c r="R103" s="198" t="s">
        <v>89</v>
      </c>
      <c r="S103" s="198" t="s">
        <v>35</v>
      </c>
      <c r="T103" s="148" t="s">
        <v>35</v>
      </c>
      <c r="U103" s="148" t="s">
        <v>35</v>
      </c>
      <c r="V103" s="148" t="s">
        <v>35</v>
      </c>
      <c r="W103" s="204" t="s">
        <v>66</v>
      </c>
      <c r="X103" s="923" t="s">
        <v>493</v>
      </c>
      <c r="Y103" s="923">
        <v>2378</v>
      </c>
      <c r="Z103" s="148" t="s">
        <v>614</v>
      </c>
      <c r="AA103" s="166" t="s">
        <v>91</v>
      </c>
      <c r="AB103" s="166"/>
    </row>
    <row r="104" spans="1:28" ht="30" hidden="1" customHeight="1">
      <c r="A104" s="166">
        <f t="shared" si="1"/>
        <v>63</v>
      </c>
      <c r="B104" s="45" t="s">
        <v>616</v>
      </c>
      <c r="C104" s="148" t="s">
        <v>617</v>
      </c>
      <c r="D104" s="148" t="s">
        <v>440</v>
      </c>
      <c r="E104" s="166" t="s">
        <v>441</v>
      </c>
      <c r="F104" s="148" t="s">
        <v>180</v>
      </c>
      <c r="G104" s="148" t="s">
        <v>603</v>
      </c>
      <c r="H104" s="148" t="s">
        <v>394</v>
      </c>
      <c r="I104" s="313">
        <v>22.4</v>
      </c>
      <c r="J104" s="318">
        <v>22.4</v>
      </c>
      <c r="K104" s="341">
        <v>22.4</v>
      </c>
      <c r="L104" s="148" t="s">
        <v>618</v>
      </c>
      <c r="M104" s="166">
        <v>2001</v>
      </c>
      <c r="N104" s="879">
        <v>37210</v>
      </c>
      <c r="O104" s="206" t="s">
        <v>619</v>
      </c>
      <c r="P104" s="27" t="s">
        <v>37</v>
      </c>
      <c r="Q104" s="53"/>
      <c r="R104" s="190" t="s">
        <v>38</v>
      </c>
      <c r="S104" s="194" t="s">
        <v>39</v>
      </c>
      <c r="T104" s="200" t="s">
        <v>620</v>
      </c>
      <c r="U104" s="200">
        <v>2007</v>
      </c>
      <c r="V104" s="196" t="s">
        <v>77</v>
      </c>
      <c r="W104" s="204" t="s">
        <v>66</v>
      </c>
      <c r="X104" s="27" t="s">
        <v>112</v>
      </c>
      <c r="Y104" s="27">
        <v>3074</v>
      </c>
      <c r="Z104" s="148" t="s">
        <v>618</v>
      </c>
      <c r="AA104" s="900"/>
      <c r="AB104" s="900"/>
    </row>
    <row r="105" spans="1:28" ht="30" hidden="1" customHeight="1">
      <c r="A105" s="166">
        <f t="shared" si="1"/>
        <v>64</v>
      </c>
      <c r="B105" s="47" t="s">
        <v>621</v>
      </c>
      <c r="C105" s="148" t="s">
        <v>622</v>
      </c>
      <c r="D105" s="148" t="s">
        <v>440</v>
      </c>
      <c r="E105" s="166" t="s">
        <v>441</v>
      </c>
      <c r="F105" s="53" t="s">
        <v>155</v>
      </c>
      <c r="G105" s="148" t="s">
        <v>623</v>
      </c>
      <c r="H105" s="148" t="s">
        <v>197</v>
      </c>
      <c r="I105" s="313">
        <v>227.3</v>
      </c>
      <c r="J105" s="318">
        <v>227.3</v>
      </c>
      <c r="K105" s="341">
        <v>227.3</v>
      </c>
      <c r="L105" s="148" t="s">
        <v>624</v>
      </c>
      <c r="M105" s="166">
        <v>2001</v>
      </c>
      <c r="N105" s="879">
        <v>37089</v>
      </c>
      <c r="O105" s="206" t="s">
        <v>625</v>
      </c>
      <c r="P105" s="27" t="s">
        <v>37</v>
      </c>
      <c r="Q105" s="53"/>
      <c r="R105" s="198" t="s">
        <v>89</v>
      </c>
      <c r="S105" s="198" t="s">
        <v>35</v>
      </c>
      <c r="T105" s="148" t="s">
        <v>35</v>
      </c>
      <c r="U105" s="148" t="s">
        <v>35</v>
      </c>
      <c r="V105" s="148" t="s">
        <v>35</v>
      </c>
      <c r="W105" s="204" t="s">
        <v>66</v>
      </c>
      <c r="X105" s="27" t="s">
        <v>112</v>
      </c>
      <c r="Y105" s="27">
        <v>2874</v>
      </c>
      <c r="Z105" s="148" t="s">
        <v>624</v>
      </c>
      <c r="AA105" s="166" t="s">
        <v>91</v>
      </c>
      <c r="AB105" s="166"/>
    </row>
    <row r="106" spans="1:28" ht="30" hidden="1" customHeight="1">
      <c r="A106" s="166">
        <f t="shared" si="1"/>
        <v>65</v>
      </c>
      <c r="B106" s="45" t="s">
        <v>626</v>
      </c>
      <c r="C106" s="148" t="s">
        <v>627</v>
      </c>
      <c r="D106" s="148" t="s">
        <v>440</v>
      </c>
      <c r="E106" s="166" t="s">
        <v>441</v>
      </c>
      <c r="F106" s="148" t="s">
        <v>321</v>
      </c>
      <c r="G106" s="148" t="s">
        <v>612</v>
      </c>
      <c r="H106" s="148" t="s">
        <v>613</v>
      </c>
      <c r="I106" s="313">
        <v>418.01</v>
      </c>
      <c r="J106" s="340">
        <v>0</v>
      </c>
      <c r="K106" s="341">
        <v>418.01</v>
      </c>
      <c r="L106" s="148" t="s">
        <v>628</v>
      </c>
      <c r="M106" s="166">
        <v>2001</v>
      </c>
      <c r="N106" s="879">
        <v>37089</v>
      </c>
      <c r="O106" s="206" t="s">
        <v>615</v>
      </c>
      <c r="P106" s="27" t="s">
        <v>37</v>
      </c>
      <c r="Q106" s="53"/>
      <c r="R106" s="198" t="s">
        <v>89</v>
      </c>
      <c r="S106" s="198" t="s">
        <v>35</v>
      </c>
      <c r="T106" s="148" t="s">
        <v>35</v>
      </c>
      <c r="U106" s="148" t="s">
        <v>35</v>
      </c>
      <c r="V106" s="148" t="s">
        <v>35</v>
      </c>
      <c r="W106" s="204" t="s">
        <v>66</v>
      </c>
      <c r="X106" s="923" t="s">
        <v>493</v>
      </c>
      <c r="Y106" s="923">
        <v>2877</v>
      </c>
      <c r="Z106" s="148" t="s">
        <v>628</v>
      </c>
      <c r="AA106" s="166" t="s">
        <v>91</v>
      </c>
      <c r="AB106" s="166"/>
    </row>
    <row r="107" spans="1:28" ht="30" hidden="1" customHeight="1">
      <c r="A107" s="166">
        <f t="shared" si="1"/>
        <v>66</v>
      </c>
      <c r="B107" s="47" t="s">
        <v>629</v>
      </c>
      <c r="C107" s="148" t="s">
        <v>630</v>
      </c>
      <c r="D107" s="148" t="s">
        <v>440</v>
      </c>
      <c r="E107" s="166" t="s">
        <v>441</v>
      </c>
      <c r="F107" s="148" t="s">
        <v>180</v>
      </c>
      <c r="G107" s="148" t="s">
        <v>415</v>
      </c>
      <c r="H107" s="148" t="s">
        <v>182</v>
      </c>
      <c r="I107" s="313">
        <v>451</v>
      </c>
      <c r="J107" s="318">
        <v>451</v>
      </c>
      <c r="K107" s="341">
        <v>451</v>
      </c>
      <c r="L107" s="148" t="s">
        <v>631</v>
      </c>
      <c r="M107" s="166">
        <v>2001</v>
      </c>
      <c r="N107" s="879">
        <v>37089</v>
      </c>
      <c r="O107" s="206" t="s">
        <v>609</v>
      </c>
      <c r="P107" s="27" t="s">
        <v>37</v>
      </c>
      <c r="Q107" s="53"/>
      <c r="R107" s="190" t="s">
        <v>38</v>
      </c>
      <c r="S107" s="194" t="s">
        <v>39</v>
      </c>
      <c r="T107" s="200" t="s">
        <v>632</v>
      </c>
      <c r="U107" s="200">
        <v>2007</v>
      </c>
      <c r="V107" s="200" t="s">
        <v>77</v>
      </c>
      <c r="W107" s="204" t="s">
        <v>66</v>
      </c>
      <c r="X107" s="27" t="s">
        <v>112</v>
      </c>
      <c r="Y107" s="27">
        <v>2923</v>
      </c>
      <c r="Z107" s="148" t="s">
        <v>631</v>
      </c>
      <c r="AA107" s="900"/>
      <c r="AB107" s="900"/>
    </row>
    <row r="108" spans="1:28" ht="30" hidden="1" customHeight="1">
      <c r="A108" s="166">
        <f t="shared" si="1"/>
        <v>67</v>
      </c>
      <c r="B108" s="45" t="s">
        <v>633</v>
      </c>
      <c r="C108" s="148" t="s">
        <v>634</v>
      </c>
      <c r="D108" s="148" t="s">
        <v>440</v>
      </c>
      <c r="E108" s="166" t="s">
        <v>441</v>
      </c>
      <c r="F108" s="148" t="s">
        <v>180</v>
      </c>
      <c r="G108" s="148" t="s">
        <v>635</v>
      </c>
      <c r="H108" s="148" t="s">
        <v>394</v>
      </c>
      <c r="I108" s="313">
        <v>34</v>
      </c>
      <c r="J108" s="318">
        <v>34</v>
      </c>
      <c r="K108" s="341">
        <v>34</v>
      </c>
      <c r="L108" s="148" t="s">
        <v>636</v>
      </c>
      <c r="M108" s="166">
        <v>2001</v>
      </c>
      <c r="N108" s="879">
        <v>37210</v>
      </c>
      <c r="O108" s="206" t="s">
        <v>637</v>
      </c>
      <c r="P108" s="27" t="s">
        <v>37</v>
      </c>
      <c r="Q108" s="53"/>
      <c r="R108" s="198" t="s">
        <v>89</v>
      </c>
      <c r="S108" s="198" t="s">
        <v>35</v>
      </c>
      <c r="T108" s="148" t="s">
        <v>35</v>
      </c>
      <c r="U108" s="148" t="s">
        <v>35</v>
      </c>
      <c r="V108" s="148" t="s">
        <v>35</v>
      </c>
      <c r="W108" s="204" t="s">
        <v>66</v>
      </c>
      <c r="X108" s="27" t="s">
        <v>112</v>
      </c>
      <c r="Y108" s="27">
        <v>3114</v>
      </c>
      <c r="Z108" s="148" t="s">
        <v>636</v>
      </c>
      <c r="AA108" s="166" t="s">
        <v>91</v>
      </c>
      <c r="AB108" s="166"/>
    </row>
    <row r="109" spans="1:28" ht="30" hidden="1" customHeight="1">
      <c r="A109" s="166">
        <f t="shared" si="1"/>
        <v>68</v>
      </c>
      <c r="B109" s="47" t="s">
        <v>638</v>
      </c>
      <c r="C109" s="148" t="s">
        <v>639</v>
      </c>
      <c r="D109" s="148" t="s">
        <v>496</v>
      </c>
      <c r="E109" s="280" t="s">
        <v>497</v>
      </c>
      <c r="F109" s="53" t="s">
        <v>535</v>
      </c>
      <c r="G109" s="239" t="s">
        <v>640</v>
      </c>
      <c r="H109" s="148" t="s">
        <v>537</v>
      </c>
      <c r="I109" s="313">
        <v>39</v>
      </c>
      <c r="J109" s="318">
        <v>39</v>
      </c>
      <c r="K109" s="341">
        <v>39</v>
      </c>
      <c r="L109" s="148" t="s">
        <v>641</v>
      </c>
      <c r="M109" s="166">
        <v>2001</v>
      </c>
      <c r="N109" s="879">
        <v>37007</v>
      </c>
      <c r="O109" s="53" t="s">
        <v>642</v>
      </c>
      <c r="P109" s="27" t="s">
        <v>37</v>
      </c>
      <c r="Q109" s="53"/>
      <c r="R109" s="190" t="s">
        <v>38</v>
      </c>
      <c r="S109" s="194" t="s">
        <v>39</v>
      </c>
      <c r="T109" s="200" t="s">
        <v>643</v>
      </c>
      <c r="U109" s="195">
        <v>2010</v>
      </c>
      <c r="V109" s="924" t="s">
        <v>513</v>
      </c>
      <c r="W109" s="66" t="s">
        <v>66</v>
      </c>
      <c r="X109" s="27" t="s">
        <v>112</v>
      </c>
      <c r="Y109" s="27" t="s">
        <v>67</v>
      </c>
      <c r="Z109" s="148" t="s">
        <v>641</v>
      </c>
      <c r="AA109" s="900"/>
      <c r="AB109" s="900"/>
    </row>
    <row r="110" spans="1:28" ht="30" hidden="1" customHeight="1">
      <c r="A110" s="166">
        <f t="shared" si="1"/>
        <v>69</v>
      </c>
      <c r="B110" s="45" t="s">
        <v>644</v>
      </c>
      <c r="C110" s="148" t="s">
        <v>645</v>
      </c>
      <c r="D110" s="148" t="s">
        <v>440</v>
      </c>
      <c r="E110" s="166" t="s">
        <v>441</v>
      </c>
      <c r="F110" s="148" t="s">
        <v>321</v>
      </c>
      <c r="G110" s="148" t="s">
        <v>646</v>
      </c>
      <c r="H110" s="148" t="s">
        <v>613</v>
      </c>
      <c r="I110" s="313">
        <v>30.5</v>
      </c>
      <c r="J110" s="318">
        <v>30.5</v>
      </c>
      <c r="K110" s="341">
        <v>30.5</v>
      </c>
      <c r="L110" s="148" t="s">
        <v>647</v>
      </c>
      <c r="M110" s="166">
        <v>2001</v>
      </c>
      <c r="N110" s="879">
        <v>37007</v>
      </c>
      <c r="O110" s="206" t="s">
        <v>648</v>
      </c>
      <c r="P110" s="27" t="s">
        <v>37</v>
      </c>
      <c r="Q110" s="53"/>
      <c r="R110" s="198" t="s">
        <v>89</v>
      </c>
      <c r="S110" s="198" t="s">
        <v>35</v>
      </c>
      <c r="T110" s="148" t="s">
        <v>35</v>
      </c>
      <c r="U110" s="148" t="s">
        <v>35</v>
      </c>
      <c r="V110" s="148" t="s">
        <v>35</v>
      </c>
      <c r="W110" s="204" t="s">
        <v>66</v>
      </c>
      <c r="X110" s="27" t="s">
        <v>112</v>
      </c>
      <c r="Y110" s="27">
        <v>2871</v>
      </c>
      <c r="Z110" s="148" t="s">
        <v>647</v>
      </c>
      <c r="AA110" s="166" t="s">
        <v>91</v>
      </c>
      <c r="AB110" s="166"/>
    </row>
    <row r="111" spans="1:28" ht="30" hidden="1" customHeight="1">
      <c r="A111" s="166">
        <f t="shared" si="1"/>
        <v>70</v>
      </c>
      <c r="B111" s="47" t="s">
        <v>649</v>
      </c>
      <c r="C111" s="148" t="s">
        <v>650</v>
      </c>
      <c r="D111" s="148" t="s">
        <v>440</v>
      </c>
      <c r="E111" s="166" t="s">
        <v>441</v>
      </c>
      <c r="F111" s="148" t="s">
        <v>321</v>
      </c>
      <c r="G111" s="148" t="s">
        <v>651</v>
      </c>
      <c r="H111" s="148" t="s">
        <v>613</v>
      </c>
      <c r="I111" s="313">
        <v>609.20000000000005</v>
      </c>
      <c r="J111" s="340">
        <v>0</v>
      </c>
      <c r="K111" s="341">
        <v>609.20000000000005</v>
      </c>
      <c r="L111" s="148" t="s">
        <v>652</v>
      </c>
      <c r="M111" s="166">
        <v>2001</v>
      </c>
      <c r="N111" s="879">
        <v>37089</v>
      </c>
      <c r="O111" s="206" t="s">
        <v>653</v>
      </c>
      <c r="P111" s="27" t="s">
        <v>37</v>
      </c>
      <c r="Q111" s="53"/>
      <c r="R111" s="198" t="s">
        <v>89</v>
      </c>
      <c r="S111" s="198" t="s">
        <v>35</v>
      </c>
      <c r="T111" s="148" t="s">
        <v>35</v>
      </c>
      <c r="U111" s="148" t="s">
        <v>35</v>
      </c>
      <c r="V111" s="148" t="s">
        <v>35</v>
      </c>
      <c r="W111" s="204" t="s">
        <v>66</v>
      </c>
      <c r="X111" s="923" t="s">
        <v>654</v>
      </c>
      <c r="Y111" s="923">
        <v>2875</v>
      </c>
      <c r="Z111" s="148" t="s">
        <v>652</v>
      </c>
      <c r="AA111" s="166" t="s">
        <v>91</v>
      </c>
      <c r="AB111" s="166"/>
    </row>
    <row r="112" spans="1:28" ht="30" hidden="1" customHeight="1">
      <c r="A112" s="166">
        <f t="shared" si="1"/>
        <v>71</v>
      </c>
      <c r="B112" s="45" t="s">
        <v>655</v>
      </c>
      <c r="C112" s="148" t="s">
        <v>656</v>
      </c>
      <c r="D112" s="148" t="s">
        <v>440</v>
      </c>
      <c r="E112" s="166" t="s">
        <v>441</v>
      </c>
      <c r="F112" s="148" t="s">
        <v>321</v>
      </c>
      <c r="G112" s="148" t="s">
        <v>646</v>
      </c>
      <c r="H112" s="148" t="s">
        <v>613</v>
      </c>
      <c r="I112" s="313">
        <v>45</v>
      </c>
      <c r="J112" s="340">
        <v>0</v>
      </c>
      <c r="K112" s="341">
        <v>45</v>
      </c>
      <c r="L112" s="148" t="s">
        <v>657</v>
      </c>
      <c r="M112" s="166">
        <v>2001</v>
      </c>
      <c r="N112" s="879">
        <v>37076</v>
      </c>
      <c r="O112" s="206" t="s">
        <v>658</v>
      </c>
      <c r="P112" s="27" t="s">
        <v>37</v>
      </c>
      <c r="Q112" s="53"/>
      <c r="R112" s="198" t="s">
        <v>89</v>
      </c>
      <c r="S112" s="198" t="s">
        <v>35</v>
      </c>
      <c r="T112" s="148" t="s">
        <v>35</v>
      </c>
      <c r="U112" s="148" t="s">
        <v>35</v>
      </c>
      <c r="V112" s="148" t="s">
        <v>35</v>
      </c>
      <c r="W112" s="204" t="s">
        <v>66</v>
      </c>
      <c r="X112" s="923" t="s">
        <v>493</v>
      </c>
      <c r="Y112" s="923">
        <v>2821</v>
      </c>
      <c r="Z112" s="148" t="s">
        <v>657</v>
      </c>
      <c r="AA112" s="166" t="s">
        <v>91</v>
      </c>
      <c r="AB112" s="166"/>
    </row>
    <row r="113" spans="1:28" ht="30" hidden="1" customHeight="1">
      <c r="A113" s="166">
        <f t="shared" si="1"/>
        <v>72</v>
      </c>
      <c r="B113" s="47" t="s">
        <v>659</v>
      </c>
      <c r="C113" s="148" t="s">
        <v>660</v>
      </c>
      <c r="D113" s="148" t="s">
        <v>440</v>
      </c>
      <c r="E113" s="166" t="s">
        <v>441</v>
      </c>
      <c r="F113" s="148" t="s">
        <v>321</v>
      </c>
      <c r="G113" s="148" t="s">
        <v>612</v>
      </c>
      <c r="H113" s="148" t="s">
        <v>613</v>
      </c>
      <c r="I113" s="313">
        <v>781.8</v>
      </c>
      <c r="J113" s="340">
        <v>0</v>
      </c>
      <c r="K113" s="341">
        <v>781.8</v>
      </c>
      <c r="L113" s="148" t="s">
        <v>661</v>
      </c>
      <c r="M113" s="166">
        <v>2001</v>
      </c>
      <c r="N113" s="879">
        <v>37089</v>
      </c>
      <c r="O113" s="206" t="s">
        <v>662</v>
      </c>
      <c r="P113" s="27" t="s">
        <v>37</v>
      </c>
      <c r="Q113" s="53"/>
      <c r="R113" s="198" t="s">
        <v>89</v>
      </c>
      <c r="S113" s="198" t="s">
        <v>35</v>
      </c>
      <c r="T113" s="148" t="s">
        <v>35</v>
      </c>
      <c r="U113" s="148" t="s">
        <v>35</v>
      </c>
      <c r="V113" s="148" t="s">
        <v>35</v>
      </c>
      <c r="W113" s="204" t="s">
        <v>66</v>
      </c>
      <c r="X113" s="923" t="s">
        <v>654</v>
      </c>
      <c r="Y113" s="923">
        <v>2876</v>
      </c>
      <c r="Z113" s="148" t="s">
        <v>661</v>
      </c>
      <c r="AA113" s="166" t="s">
        <v>91</v>
      </c>
      <c r="AB113" s="166"/>
    </row>
    <row r="114" spans="1:28" ht="30" hidden="1" customHeight="1">
      <c r="A114" s="166">
        <f t="shared" si="1"/>
        <v>73</v>
      </c>
      <c r="B114" s="45" t="s">
        <v>663</v>
      </c>
      <c r="C114" s="148" t="s">
        <v>664</v>
      </c>
      <c r="D114" s="148" t="s">
        <v>440</v>
      </c>
      <c r="E114" s="166" t="s">
        <v>441</v>
      </c>
      <c r="F114" s="148" t="s">
        <v>321</v>
      </c>
      <c r="G114" s="148" t="s">
        <v>646</v>
      </c>
      <c r="H114" s="148" t="s">
        <v>613</v>
      </c>
      <c r="I114" s="313">
        <v>112.5</v>
      </c>
      <c r="J114" s="318">
        <v>112.5</v>
      </c>
      <c r="K114" s="341">
        <v>112.5</v>
      </c>
      <c r="L114" s="148" t="s">
        <v>665</v>
      </c>
      <c r="M114" s="166">
        <v>2001</v>
      </c>
      <c r="N114" s="879">
        <v>37076</v>
      </c>
      <c r="O114" s="206" t="s">
        <v>666</v>
      </c>
      <c r="P114" s="27" t="s">
        <v>37</v>
      </c>
      <c r="Q114" s="53"/>
      <c r="R114" s="198" t="s">
        <v>89</v>
      </c>
      <c r="S114" s="198" t="s">
        <v>35</v>
      </c>
      <c r="T114" s="148" t="s">
        <v>35</v>
      </c>
      <c r="U114" s="148" t="s">
        <v>35</v>
      </c>
      <c r="V114" s="148" t="s">
        <v>35</v>
      </c>
      <c r="W114" s="204" t="s">
        <v>66</v>
      </c>
      <c r="X114" s="27" t="s">
        <v>112</v>
      </c>
      <c r="Y114" s="27">
        <v>2826</v>
      </c>
      <c r="Z114" s="148" t="s">
        <v>665</v>
      </c>
      <c r="AA114" s="166" t="s">
        <v>91</v>
      </c>
      <c r="AB114" s="166"/>
    </row>
    <row r="115" spans="1:28" ht="30" hidden="1" customHeight="1">
      <c r="A115" s="166">
        <f t="shared" si="1"/>
        <v>74</v>
      </c>
      <c r="B115" s="47" t="s">
        <v>667</v>
      </c>
      <c r="C115" s="148" t="s">
        <v>668</v>
      </c>
      <c r="D115" s="148" t="s">
        <v>440</v>
      </c>
      <c r="E115" s="166" t="s">
        <v>441</v>
      </c>
      <c r="F115" s="53" t="s">
        <v>164</v>
      </c>
      <c r="G115" s="148" t="s">
        <v>669</v>
      </c>
      <c r="H115" s="148" t="s">
        <v>348</v>
      </c>
      <c r="I115" s="313">
        <v>450</v>
      </c>
      <c r="J115" s="318">
        <v>450</v>
      </c>
      <c r="K115" s="341">
        <v>450</v>
      </c>
      <c r="L115" s="148" t="s">
        <v>670</v>
      </c>
      <c r="M115" s="166">
        <v>2001</v>
      </c>
      <c r="N115" s="879">
        <v>37064</v>
      </c>
      <c r="O115" s="206" t="s">
        <v>671</v>
      </c>
      <c r="P115" s="27" t="s">
        <v>37</v>
      </c>
      <c r="Q115" s="53"/>
      <c r="R115" s="190" t="s">
        <v>38</v>
      </c>
      <c r="S115" s="194" t="s">
        <v>39</v>
      </c>
      <c r="T115" s="200" t="s">
        <v>672</v>
      </c>
      <c r="U115" s="195">
        <v>2008</v>
      </c>
      <c r="V115" s="196" t="s">
        <v>121</v>
      </c>
      <c r="W115" s="66" t="s">
        <v>66</v>
      </c>
      <c r="X115" s="27" t="s">
        <v>112</v>
      </c>
      <c r="Y115" s="27">
        <v>2934</v>
      </c>
      <c r="Z115" s="148" t="s">
        <v>670</v>
      </c>
      <c r="AA115" s="900"/>
      <c r="AB115" s="900"/>
    </row>
    <row r="116" spans="1:28" ht="64.5" hidden="1" customHeight="1">
      <c r="A116" s="166">
        <f t="shared" si="1"/>
        <v>75</v>
      </c>
      <c r="B116" s="45" t="s">
        <v>673</v>
      </c>
      <c r="C116" s="148" t="s">
        <v>674</v>
      </c>
      <c r="D116" s="148" t="s">
        <v>440</v>
      </c>
      <c r="E116" s="166" t="s">
        <v>441</v>
      </c>
      <c r="F116" s="148" t="s">
        <v>321</v>
      </c>
      <c r="G116" s="148" t="s">
        <v>675</v>
      </c>
      <c r="H116" s="148" t="s">
        <v>490</v>
      </c>
      <c r="I116" s="313">
        <v>841.41</v>
      </c>
      <c r="J116" s="340">
        <v>0</v>
      </c>
      <c r="K116" s="341">
        <v>841.41</v>
      </c>
      <c r="L116" s="148" t="s">
        <v>676</v>
      </c>
      <c r="M116" s="166">
        <v>2001</v>
      </c>
      <c r="N116" s="879">
        <v>37007</v>
      </c>
      <c r="O116" s="206" t="s">
        <v>648</v>
      </c>
      <c r="P116" s="27" t="s">
        <v>37</v>
      </c>
      <c r="Q116" s="53"/>
      <c r="R116" s="198" t="s">
        <v>89</v>
      </c>
      <c r="S116" s="198" t="s">
        <v>35</v>
      </c>
      <c r="T116" s="148" t="s">
        <v>35</v>
      </c>
      <c r="U116" s="148" t="s">
        <v>35</v>
      </c>
      <c r="V116" s="148" t="s">
        <v>35</v>
      </c>
      <c r="W116" s="204" t="s">
        <v>66</v>
      </c>
      <c r="X116" s="923" t="s">
        <v>493</v>
      </c>
      <c r="Y116" s="923">
        <v>7808</v>
      </c>
      <c r="Z116" s="148" t="s">
        <v>676</v>
      </c>
      <c r="AA116" s="166" t="s">
        <v>91</v>
      </c>
      <c r="AB116" s="330" t="s">
        <v>677</v>
      </c>
    </row>
    <row r="117" spans="1:28" ht="45.75" hidden="1" customHeight="1">
      <c r="A117" s="166">
        <f t="shared" si="1"/>
        <v>76</v>
      </c>
      <c r="B117" s="47" t="s">
        <v>678</v>
      </c>
      <c r="C117" s="148" t="s">
        <v>679</v>
      </c>
      <c r="D117" s="148" t="s">
        <v>440</v>
      </c>
      <c r="E117" s="166" t="s">
        <v>441</v>
      </c>
      <c r="F117" s="148" t="s">
        <v>180</v>
      </c>
      <c r="G117" s="148" t="s">
        <v>603</v>
      </c>
      <c r="H117" s="148" t="s">
        <v>394</v>
      </c>
      <c r="I117" s="313">
        <v>50.171599999999998</v>
      </c>
      <c r="J117" s="318">
        <v>50.171599999999998</v>
      </c>
      <c r="K117" s="341">
        <v>50.171599999999998</v>
      </c>
      <c r="L117" s="148" t="s">
        <v>2705</v>
      </c>
      <c r="M117" s="166">
        <v>2001</v>
      </c>
      <c r="N117" s="879" t="s">
        <v>571</v>
      </c>
      <c r="O117" s="206" t="s">
        <v>680</v>
      </c>
      <c r="P117" s="27" t="s">
        <v>37</v>
      </c>
      <c r="Q117" s="53"/>
      <c r="R117" s="198" t="s">
        <v>89</v>
      </c>
      <c r="S117" s="198" t="s">
        <v>35</v>
      </c>
      <c r="T117" s="148" t="s">
        <v>35</v>
      </c>
      <c r="U117" s="148" t="s">
        <v>35</v>
      </c>
      <c r="V117" s="148" t="s">
        <v>35</v>
      </c>
      <c r="W117" s="204" t="s">
        <v>66</v>
      </c>
      <c r="X117" s="27" t="s">
        <v>112</v>
      </c>
      <c r="Y117" s="27">
        <v>3078</v>
      </c>
      <c r="Z117" s="148" t="s">
        <v>2705</v>
      </c>
      <c r="AA117" s="166" t="s">
        <v>91</v>
      </c>
      <c r="AB117" s="148" t="s">
        <v>2706</v>
      </c>
    </row>
    <row r="118" spans="1:28" ht="30" hidden="1" customHeight="1">
      <c r="A118" s="166">
        <f t="shared" si="1"/>
        <v>77</v>
      </c>
      <c r="B118" s="45" t="s">
        <v>681</v>
      </c>
      <c r="C118" s="148" t="s">
        <v>682</v>
      </c>
      <c r="D118" s="148" t="s">
        <v>440</v>
      </c>
      <c r="E118" s="166" t="s">
        <v>441</v>
      </c>
      <c r="F118" s="148" t="s">
        <v>180</v>
      </c>
      <c r="G118" s="148" t="s">
        <v>683</v>
      </c>
      <c r="H118" s="148" t="s">
        <v>394</v>
      </c>
      <c r="I118" s="313">
        <v>50.35</v>
      </c>
      <c r="J118" s="318">
        <v>50.35</v>
      </c>
      <c r="K118" s="341">
        <v>50.35</v>
      </c>
      <c r="L118" s="148" t="s">
        <v>684</v>
      </c>
      <c r="M118" s="166">
        <v>2001</v>
      </c>
      <c r="N118" s="879">
        <v>37218</v>
      </c>
      <c r="O118" s="206" t="s">
        <v>685</v>
      </c>
      <c r="P118" s="27" t="s">
        <v>37</v>
      </c>
      <c r="Q118" s="53"/>
      <c r="R118" s="190" t="s">
        <v>38</v>
      </c>
      <c r="S118" s="194" t="s">
        <v>39</v>
      </c>
      <c r="T118" s="200" t="s">
        <v>686</v>
      </c>
      <c r="U118" s="200">
        <v>2007</v>
      </c>
      <c r="V118" s="924" t="s">
        <v>77</v>
      </c>
      <c r="W118" s="204" t="s">
        <v>66</v>
      </c>
      <c r="X118" s="27" t="s">
        <v>112</v>
      </c>
      <c r="Y118" s="27">
        <v>3076</v>
      </c>
      <c r="Z118" s="148" t="s">
        <v>684</v>
      </c>
      <c r="AA118" s="900"/>
      <c r="AB118" s="900"/>
    </row>
    <row r="119" spans="1:28" ht="30" hidden="1" customHeight="1">
      <c r="A119" s="166">
        <f t="shared" si="1"/>
        <v>78</v>
      </c>
      <c r="B119" s="47" t="s">
        <v>687</v>
      </c>
      <c r="C119" s="148" t="s">
        <v>688</v>
      </c>
      <c r="D119" s="148" t="s">
        <v>440</v>
      </c>
      <c r="E119" s="166" t="s">
        <v>441</v>
      </c>
      <c r="F119" s="148" t="s">
        <v>180</v>
      </c>
      <c r="G119" s="148" t="s">
        <v>603</v>
      </c>
      <c r="H119" s="148" t="s">
        <v>394</v>
      </c>
      <c r="I119" s="313">
        <v>115</v>
      </c>
      <c r="J119" s="318">
        <v>115</v>
      </c>
      <c r="K119" s="341">
        <v>115</v>
      </c>
      <c r="L119" s="148" t="s">
        <v>689</v>
      </c>
      <c r="M119" s="166">
        <v>2001</v>
      </c>
      <c r="N119" s="879">
        <v>37210</v>
      </c>
      <c r="O119" s="206" t="s">
        <v>690</v>
      </c>
      <c r="P119" s="27" t="s">
        <v>37</v>
      </c>
      <c r="Q119" s="53"/>
      <c r="R119" s="190" t="s">
        <v>38</v>
      </c>
      <c r="S119" s="194" t="s">
        <v>39</v>
      </c>
      <c r="T119" s="200" t="s">
        <v>691</v>
      </c>
      <c r="U119" s="200">
        <v>2007</v>
      </c>
      <c r="V119" s="924" t="s">
        <v>77</v>
      </c>
      <c r="W119" s="204" t="s">
        <v>66</v>
      </c>
      <c r="X119" s="27" t="s">
        <v>112</v>
      </c>
      <c r="Y119" s="27">
        <v>3079</v>
      </c>
      <c r="Z119" s="148" t="s">
        <v>689</v>
      </c>
      <c r="AA119" s="900"/>
      <c r="AB119" s="900"/>
    </row>
    <row r="120" spans="1:28" ht="30" hidden="1" customHeight="1">
      <c r="A120" s="166">
        <f t="shared" si="1"/>
        <v>79</v>
      </c>
      <c r="B120" s="47" t="s">
        <v>692</v>
      </c>
      <c r="C120" s="148" t="s">
        <v>693</v>
      </c>
      <c r="D120" s="148" t="s">
        <v>440</v>
      </c>
      <c r="E120" s="166" t="s">
        <v>441</v>
      </c>
      <c r="F120" s="148" t="s">
        <v>210</v>
      </c>
      <c r="G120" s="148" t="s">
        <v>211</v>
      </c>
      <c r="H120" s="148" t="s">
        <v>212</v>
      </c>
      <c r="I120" s="313">
        <v>630</v>
      </c>
      <c r="J120" s="340">
        <v>0</v>
      </c>
      <c r="K120" s="341">
        <v>630</v>
      </c>
      <c r="L120" s="148" t="s">
        <v>694</v>
      </c>
      <c r="M120" s="166">
        <v>2001</v>
      </c>
      <c r="N120" s="879">
        <v>37285</v>
      </c>
      <c r="O120" s="206" t="s">
        <v>695</v>
      </c>
      <c r="P120" s="27" t="s">
        <v>37</v>
      </c>
      <c r="Q120" s="53"/>
      <c r="R120" s="198" t="s">
        <v>89</v>
      </c>
      <c r="S120" s="198" t="s">
        <v>35</v>
      </c>
      <c r="T120" s="148" t="s">
        <v>35</v>
      </c>
      <c r="U120" s="148" t="s">
        <v>35</v>
      </c>
      <c r="V120" s="148" t="s">
        <v>35</v>
      </c>
      <c r="W120" s="204" t="s">
        <v>66</v>
      </c>
      <c r="X120" s="923" t="s">
        <v>696</v>
      </c>
      <c r="Y120" s="923">
        <v>3079</v>
      </c>
      <c r="Z120" s="148" t="s">
        <v>694</v>
      </c>
      <c r="AA120" s="166" t="s">
        <v>91</v>
      </c>
      <c r="AB120" s="166"/>
    </row>
    <row r="121" spans="1:28" ht="30" hidden="1" customHeight="1">
      <c r="A121" s="166">
        <f t="shared" si="1"/>
        <v>80</v>
      </c>
      <c r="B121" s="45" t="s">
        <v>697</v>
      </c>
      <c r="C121" s="200" t="s">
        <v>698</v>
      </c>
      <c r="D121" s="148" t="s">
        <v>440</v>
      </c>
      <c r="E121" s="166" t="s">
        <v>441</v>
      </c>
      <c r="F121" s="148" t="s">
        <v>321</v>
      </c>
      <c r="G121" s="148" t="s">
        <v>517</v>
      </c>
      <c r="H121" s="148" t="s">
        <v>518</v>
      </c>
      <c r="I121" s="313">
        <v>73.64</v>
      </c>
      <c r="J121" s="318">
        <v>73.64</v>
      </c>
      <c r="K121" s="341">
        <v>73.64</v>
      </c>
      <c r="L121" s="148" t="s">
        <v>699</v>
      </c>
      <c r="M121" s="166">
        <v>2002</v>
      </c>
      <c r="N121" s="879">
        <v>37613</v>
      </c>
      <c r="O121" s="206" t="s">
        <v>700</v>
      </c>
      <c r="P121" s="27" t="s">
        <v>37</v>
      </c>
      <c r="Q121" s="53"/>
      <c r="R121" s="190" t="s">
        <v>38</v>
      </c>
      <c r="S121" s="194" t="s">
        <v>39</v>
      </c>
      <c r="T121" s="200" t="s">
        <v>701</v>
      </c>
      <c r="U121" s="195">
        <v>2011</v>
      </c>
      <c r="V121" s="196" t="s">
        <v>145</v>
      </c>
      <c r="W121" s="66" t="s">
        <v>66</v>
      </c>
      <c r="X121" s="27" t="s">
        <v>112</v>
      </c>
      <c r="Y121" s="27">
        <v>3589</v>
      </c>
      <c r="Z121" s="148" t="s">
        <v>699</v>
      </c>
      <c r="AA121" s="900"/>
      <c r="AB121" s="900"/>
    </row>
    <row r="122" spans="1:28" ht="30" hidden="1" customHeight="1">
      <c r="A122" s="166">
        <f t="shared" si="1"/>
        <v>81</v>
      </c>
      <c r="B122" s="47" t="s">
        <v>702</v>
      </c>
      <c r="C122" s="148" t="s">
        <v>703</v>
      </c>
      <c r="D122" s="148" t="s">
        <v>440</v>
      </c>
      <c r="E122" s="166" t="s">
        <v>441</v>
      </c>
      <c r="F122" s="148" t="s">
        <v>210</v>
      </c>
      <c r="G122" s="148" t="s">
        <v>211</v>
      </c>
      <c r="H122" s="148" t="s">
        <v>212</v>
      </c>
      <c r="I122" s="313">
        <v>74</v>
      </c>
      <c r="J122" s="340">
        <v>0</v>
      </c>
      <c r="K122" s="341">
        <v>74</v>
      </c>
      <c r="L122" s="148" t="s">
        <v>704</v>
      </c>
      <c r="M122" s="166">
        <v>2002</v>
      </c>
      <c r="N122" s="879">
        <v>37319</v>
      </c>
      <c r="O122" s="206" t="s">
        <v>705</v>
      </c>
      <c r="P122" s="27" t="s">
        <v>37</v>
      </c>
      <c r="Q122" s="53"/>
      <c r="R122" s="198" t="s">
        <v>89</v>
      </c>
      <c r="S122" s="198" t="s">
        <v>35</v>
      </c>
      <c r="T122" s="148" t="s">
        <v>35</v>
      </c>
      <c r="U122" s="148" t="s">
        <v>35</v>
      </c>
      <c r="V122" s="148" t="s">
        <v>35</v>
      </c>
      <c r="W122" s="204" t="s">
        <v>66</v>
      </c>
      <c r="X122" s="923" t="s">
        <v>706</v>
      </c>
      <c r="Y122" s="923">
        <v>3014</v>
      </c>
      <c r="Z122" s="148" t="s">
        <v>704</v>
      </c>
      <c r="AA122" s="166" t="s">
        <v>91</v>
      </c>
      <c r="AB122" s="166"/>
    </row>
    <row r="123" spans="1:28" ht="30" hidden="1" customHeight="1">
      <c r="A123" s="166">
        <f t="shared" si="1"/>
        <v>82</v>
      </c>
      <c r="B123" s="45" t="s">
        <v>707</v>
      </c>
      <c r="C123" s="148" t="s">
        <v>708</v>
      </c>
      <c r="D123" s="148" t="s">
        <v>440</v>
      </c>
      <c r="E123" s="166" t="s">
        <v>441</v>
      </c>
      <c r="F123" s="148" t="s">
        <v>210</v>
      </c>
      <c r="G123" s="148" t="s">
        <v>211</v>
      </c>
      <c r="H123" s="148" t="s">
        <v>212</v>
      </c>
      <c r="I123" s="313">
        <v>570</v>
      </c>
      <c r="J123" s="318">
        <v>570</v>
      </c>
      <c r="K123" s="341">
        <v>570</v>
      </c>
      <c r="L123" s="148" t="s">
        <v>709</v>
      </c>
      <c r="M123" s="166">
        <v>2002</v>
      </c>
      <c r="N123" s="879">
        <v>37313</v>
      </c>
      <c r="O123" s="206" t="s">
        <v>710</v>
      </c>
      <c r="P123" s="27" t="s">
        <v>37</v>
      </c>
      <c r="Q123" s="53"/>
      <c r="R123" s="190" t="s">
        <v>38</v>
      </c>
      <c r="S123" s="194" t="s">
        <v>39</v>
      </c>
      <c r="T123" s="200" t="s">
        <v>711</v>
      </c>
      <c r="U123" s="200">
        <v>2007</v>
      </c>
      <c r="V123" s="924" t="s">
        <v>77</v>
      </c>
      <c r="W123" s="204" t="s">
        <v>66</v>
      </c>
      <c r="X123" s="923" t="s">
        <v>712</v>
      </c>
      <c r="Y123" s="923">
        <v>3017</v>
      </c>
      <c r="Z123" s="148" t="s">
        <v>709</v>
      </c>
      <c r="AA123" s="900"/>
      <c r="AB123" s="900"/>
    </row>
    <row r="124" spans="1:28" ht="30" hidden="1" customHeight="1">
      <c r="A124" s="166">
        <f t="shared" si="1"/>
        <v>83</v>
      </c>
      <c r="B124" s="47" t="s">
        <v>713</v>
      </c>
      <c r="C124" s="148" t="s">
        <v>714</v>
      </c>
      <c r="D124" s="148" t="s">
        <v>440</v>
      </c>
      <c r="E124" s="166" t="s">
        <v>441</v>
      </c>
      <c r="F124" s="148" t="s">
        <v>180</v>
      </c>
      <c r="G124" s="148" t="s">
        <v>715</v>
      </c>
      <c r="H124" s="148" t="s">
        <v>182</v>
      </c>
      <c r="I124" s="313">
        <v>321.60000000000002</v>
      </c>
      <c r="J124" s="318">
        <v>321.60000000000002</v>
      </c>
      <c r="K124" s="341">
        <v>321.60000000000002</v>
      </c>
      <c r="L124" s="148" t="s">
        <v>716</v>
      </c>
      <c r="M124" s="166">
        <v>2002</v>
      </c>
      <c r="N124" s="879">
        <v>37566</v>
      </c>
      <c r="O124" s="206" t="s">
        <v>717</v>
      </c>
      <c r="P124" s="27" t="s">
        <v>37</v>
      </c>
      <c r="Q124" s="53"/>
      <c r="R124" s="198" t="s">
        <v>89</v>
      </c>
      <c r="S124" s="198" t="s">
        <v>35</v>
      </c>
      <c r="T124" s="148" t="s">
        <v>35</v>
      </c>
      <c r="U124" s="148" t="s">
        <v>35</v>
      </c>
      <c r="V124" s="148" t="s">
        <v>35</v>
      </c>
      <c r="W124" s="204" t="s">
        <v>66</v>
      </c>
      <c r="X124" s="27" t="s">
        <v>112</v>
      </c>
      <c r="Y124" s="27" t="s">
        <v>67</v>
      </c>
      <c r="Z124" s="148" t="s">
        <v>716</v>
      </c>
      <c r="AA124" s="166" t="s">
        <v>91</v>
      </c>
      <c r="AB124" s="166"/>
    </row>
    <row r="125" spans="1:28" ht="30" hidden="1" customHeight="1">
      <c r="A125" s="166">
        <f t="shared" si="1"/>
        <v>84</v>
      </c>
      <c r="B125" s="45" t="s">
        <v>718</v>
      </c>
      <c r="C125" s="148" t="s">
        <v>719</v>
      </c>
      <c r="D125" s="148" t="s">
        <v>440</v>
      </c>
      <c r="E125" s="166" t="s">
        <v>441</v>
      </c>
      <c r="F125" s="148" t="s">
        <v>180</v>
      </c>
      <c r="G125" s="148" t="s">
        <v>720</v>
      </c>
      <c r="H125" s="148" t="s">
        <v>182</v>
      </c>
      <c r="I125" s="313">
        <v>47.6</v>
      </c>
      <c r="J125" s="318">
        <v>47.6</v>
      </c>
      <c r="K125" s="341">
        <v>47.6</v>
      </c>
      <c r="L125" s="148" t="s">
        <v>721</v>
      </c>
      <c r="M125" s="166">
        <v>2002</v>
      </c>
      <c r="N125" s="879">
        <v>37522</v>
      </c>
      <c r="O125" s="206" t="s">
        <v>722</v>
      </c>
      <c r="P125" s="27" t="s">
        <v>37</v>
      </c>
      <c r="Q125" s="53"/>
      <c r="R125" s="198" t="s">
        <v>89</v>
      </c>
      <c r="S125" s="198" t="s">
        <v>35</v>
      </c>
      <c r="T125" s="148" t="s">
        <v>35</v>
      </c>
      <c r="U125" s="148" t="s">
        <v>35</v>
      </c>
      <c r="V125" s="148" t="s">
        <v>35</v>
      </c>
      <c r="W125" s="204" t="s">
        <v>66</v>
      </c>
      <c r="X125" s="27" t="s">
        <v>112</v>
      </c>
      <c r="Y125" s="27" t="s">
        <v>67</v>
      </c>
      <c r="Z125" s="148" t="s">
        <v>721</v>
      </c>
      <c r="AA125" s="166" t="s">
        <v>91</v>
      </c>
      <c r="AB125" s="166"/>
    </row>
    <row r="126" spans="1:28" ht="30" hidden="1" customHeight="1">
      <c r="A126" s="166">
        <f t="shared" si="1"/>
        <v>85</v>
      </c>
      <c r="B126" s="47" t="s">
        <v>723</v>
      </c>
      <c r="C126" s="148" t="s">
        <v>724</v>
      </c>
      <c r="D126" s="148" t="s">
        <v>440</v>
      </c>
      <c r="E126" s="166" t="s">
        <v>441</v>
      </c>
      <c r="F126" s="148" t="s">
        <v>201</v>
      </c>
      <c r="G126" s="148" t="s">
        <v>725</v>
      </c>
      <c r="H126" s="148" t="s">
        <v>726</v>
      </c>
      <c r="I126" s="313">
        <v>45.12</v>
      </c>
      <c r="J126" s="318">
        <v>45.12</v>
      </c>
      <c r="K126" s="341">
        <v>45.12</v>
      </c>
      <c r="L126" s="148" t="s">
        <v>727</v>
      </c>
      <c r="M126" s="166">
        <v>2002</v>
      </c>
      <c r="N126" s="879">
        <v>37559</v>
      </c>
      <c r="O126" s="206" t="s">
        <v>728</v>
      </c>
      <c r="P126" s="27" t="s">
        <v>37</v>
      </c>
      <c r="Q126" s="53"/>
      <c r="R126" s="190" t="s">
        <v>38</v>
      </c>
      <c r="S126" s="194" t="s">
        <v>39</v>
      </c>
      <c r="T126" s="200" t="s">
        <v>729</v>
      </c>
      <c r="U126" s="200">
        <v>2007</v>
      </c>
      <c r="V126" s="924" t="s">
        <v>77</v>
      </c>
      <c r="W126" s="204" t="s">
        <v>66</v>
      </c>
      <c r="X126" s="27" t="s">
        <v>112</v>
      </c>
      <c r="Y126" s="27">
        <v>3546</v>
      </c>
      <c r="Z126" s="148" t="s">
        <v>727</v>
      </c>
      <c r="AA126" s="900"/>
      <c r="AB126" s="900"/>
    </row>
    <row r="127" spans="1:28" ht="30" hidden="1" customHeight="1">
      <c r="A127" s="166">
        <f t="shared" si="1"/>
        <v>86</v>
      </c>
      <c r="B127" s="45" t="s">
        <v>730</v>
      </c>
      <c r="C127" s="148" t="s">
        <v>731</v>
      </c>
      <c r="D127" s="148" t="s">
        <v>440</v>
      </c>
      <c r="E127" s="166" t="s">
        <v>441</v>
      </c>
      <c r="F127" s="148" t="s">
        <v>201</v>
      </c>
      <c r="G127" s="148" t="s">
        <v>732</v>
      </c>
      <c r="H127" s="148" t="s">
        <v>203</v>
      </c>
      <c r="I127" s="313">
        <v>136</v>
      </c>
      <c r="J127" s="318">
        <v>136</v>
      </c>
      <c r="K127" s="341">
        <v>136</v>
      </c>
      <c r="L127" s="148" t="s">
        <v>733</v>
      </c>
      <c r="M127" s="166">
        <v>2002</v>
      </c>
      <c r="N127" s="879">
        <v>37400</v>
      </c>
      <c r="O127" s="206" t="s">
        <v>734</v>
      </c>
      <c r="P127" s="27" t="s">
        <v>37</v>
      </c>
      <c r="Q127" s="53"/>
      <c r="R127" s="190" t="s">
        <v>38</v>
      </c>
      <c r="S127" s="194" t="s">
        <v>39</v>
      </c>
      <c r="T127" s="200" t="s">
        <v>735</v>
      </c>
      <c r="U127" s="200">
        <v>2007</v>
      </c>
      <c r="V127" s="924" t="s">
        <v>77</v>
      </c>
      <c r="W127" s="204" t="s">
        <v>66</v>
      </c>
      <c r="X127" s="27" t="s">
        <v>112</v>
      </c>
      <c r="Y127" s="27">
        <v>3293</v>
      </c>
      <c r="Z127" s="148" t="s">
        <v>733</v>
      </c>
      <c r="AA127" s="900"/>
      <c r="AB127" s="900"/>
    </row>
    <row r="128" spans="1:28" ht="30" hidden="1" customHeight="1">
      <c r="A128" s="166">
        <f t="shared" si="1"/>
        <v>87</v>
      </c>
      <c r="B128" s="47" t="s">
        <v>736</v>
      </c>
      <c r="C128" s="148" t="s">
        <v>737</v>
      </c>
      <c r="D128" s="148" t="s">
        <v>440</v>
      </c>
      <c r="E128" s="166" t="s">
        <v>441</v>
      </c>
      <c r="F128" s="148" t="s">
        <v>210</v>
      </c>
      <c r="G128" s="148" t="s">
        <v>211</v>
      </c>
      <c r="H128" s="148" t="s">
        <v>212</v>
      </c>
      <c r="I128" s="313">
        <v>74</v>
      </c>
      <c r="J128" s="340">
        <v>0</v>
      </c>
      <c r="K128" s="341">
        <v>74</v>
      </c>
      <c r="L128" s="148" t="s">
        <v>738</v>
      </c>
      <c r="M128" s="166">
        <v>2002</v>
      </c>
      <c r="N128" s="879">
        <v>37321</v>
      </c>
      <c r="O128" s="206" t="s">
        <v>739</v>
      </c>
      <c r="P128" s="27" t="s">
        <v>37</v>
      </c>
      <c r="Q128" s="53"/>
      <c r="R128" s="198" t="s">
        <v>89</v>
      </c>
      <c r="S128" s="198" t="s">
        <v>35</v>
      </c>
      <c r="T128" s="148" t="s">
        <v>35</v>
      </c>
      <c r="U128" s="148" t="s">
        <v>35</v>
      </c>
      <c r="V128" s="148" t="s">
        <v>35</v>
      </c>
      <c r="W128" s="204" t="s">
        <v>66</v>
      </c>
      <c r="X128" s="923" t="s">
        <v>696</v>
      </c>
      <c r="Y128" s="923">
        <v>3015</v>
      </c>
      <c r="Z128" s="148" t="s">
        <v>738</v>
      </c>
      <c r="AA128" s="166" t="s">
        <v>91</v>
      </c>
      <c r="AB128" s="166"/>
    </row>
    <row r="129" spans="1:28" ht="30" hidden="1" customHeight="1">
      <c r="A129" s="166">
        <f t="shared" si="1"/>
        <v>88</v>
      </c>
      <c r="B129" s="45" t="s">
        <v>740</v>
      </c>
      <c r="C129" s="148" t="s">
        <v>741</v>
      </c>
      <c r="D129" s="148" t="s">
        <v>440</v>
      </c>
      <c r="E129" s="166" t="s">
        <v>441</v>
      </c>
      <c r="F129" s="148" t="s">
        <v>210</v>
      </c>
      <c r="G129" s="148" t="s">
        <v>211</v>
      </c>
      <c r="H129" s="148" t="s">
        <v>212</v>
      </c>
      <c r="I129" s="313">
        <v>112</v>
      </c>
      <c r="J129" s="318">
        <v>112</v>
      </c>
      <c r="K129" s="341">
        <v>112</v>
      </c>
      <c r="L129" s="148" t="s">
        <v>742</v>
      </c>
      <c r="M129" s="166">
        <v>2002</v>
      </c>
      <c r="N129" s="879">
        <v>37321</v>
      </c>
      <c r="O129" s="206" t="s">
        <v>743</v>
      </c>
      <c r="P129" s="27" t="s">
        <v>37</v>
      </c>
      <c r="Q129" s="53"/>
      <c r="R129" s="198" t="s">
        <v>89</v>
      </c>
      <c r="S129" s="198" t="s">
        <v>35</v>
      </c>
      <c r="T129" s="148" t="s">
        <v>35</v>
      </c>
      <c r="U129" s="148" t="s">
        <v>35</v>
      </c>
      <c r="V129" s="148" t="s">
        <v>35</v>
      </c>
      <c r="W129" s="204" t="s">
        <v>66</v>
      </c>
      <c r="X129" s="27" t="s">
        <v>112</v>
      </c>
      <c r="Y129" s="27">
        <v>2927</v>
      </c>
      <c r="Z129" s="148" t="s">
        <v>742</v>
      </c>
      <c r="AA129" s="166" t="s">
        <v>91</v>
      </c>
      <c r="AB129" s="166"/>
    </row>
    <row r="130" spans="1:28" ht="30" hidden="1" customHeight="1">
      <c r="A130" s="166">
        <f t="shared" si="1"/>
        <v>89</v>
      </c>
      <c r="B130" s="47" t="s">
        <v>744</v>
      </c>
      <c r="C130" s="148" t="s">
        <v>745</v>
      </c>
      <c r="D130" s="148" t="s">
        <v>440</v>
      </c>
      <c r="E130" s="166" t="s">
        <v>441</v>
      </c>
      <c r="F130" s="148" t="s">
        <v>210</v>
      </c>
      <c r="G130" s="148" t="s">
        <v>211</v>
      </c>
      <c r="H130" s="148" t="s">
        <v>212</v>
      </c>
      <c r="I130" s="313">
        <v>729</v>
      </c>
      <c r="J130" s="318">
        <v>729</v>
      </c>
      <c r="K130" s="341">
        <v>729</v>
      </c>
      <c r="L130" s="148" t="s">
        <v>746</v>
      </c>
      <c r="M130" s="166">
        <v>2002</v>
      </c>
      <c r="N130" s="879">
        <v>37289</v>
      </c>
      <c r="O130" s="206" t="s">
        <v>695</v>
      </c>
      <c r="P130" s="27" t="s">
        <v>37</v>
      </c>
      <c r="Q130" s="53"/>
      <c r="R130" s="190" t="s">
        <v>38</v>
      </c>
      <c r="S130" s="194" t="s">
        <v>39</v>
      </c>
      <c r="T130" s="200" t="s">
        <v>747</v>
      </c>
      <c r="U130" s="200">
        <v>2007</v>
      </c>
      <c r="V130" s="200" t="s">
        <v>77</v>
      </c>
      <c r="W130" s="204" t="s">
        <v>66</v>
      </c>
      <c r="X130" s="923" t="s">
        <v>712</v>
      </c>
      <c r="Y130" s="923">
        <v>3696</v>
      </c>
      <c r="Z130" s="148" t="s">
        <v>746</v>
      </c>
      <c r="AA130" s="900"/>
      <c r="AB130" s="900"/>
    </row>
    <row r="131" spans="1:28" ht="30" hidden="1" customHeight="1">
      <c r="A131" s="166">
        <f t="shared" si="1"/>
        <v>90</v>
      </c>
      <c r="B131" s="45" t="s">
        <v>748</v>
      </c>
      <c r="C131" s="148" t="s">
        <v>749</v>
      </c>
      <c r="D131" s="148" t="s">
        <v>440</v>
      </c>
      <c r="E131" s="166" t="s">
        <v>441</v>
      </c>
      <c r="F131" s="53" t="s">
        <v>164</v>
      </c>
      <c r="G131" s="148" t="s">
        <v>750</v>
      </c>
      <c r="H131" s="148" t="s">
        <v>348</v>
      </c>
      <c r="I131" s="925">
        <v>1857.59</v>
      </c>
      <c r="J131" s="926">
        <v>1857.59</v>
      </c>
      <c r="K131" s="927">
        <v>1857.59</v>
      </c>
      <c r="L131" s="345" t="s">
        <v>751</v>
      </c>
      <c r="M131" s="166">
        <v>2002</v>
      </c>
      <c r="N131" s="879">
        <v>37355</v>
      </c>
      <c r="O131" s="206" t="s">
        <v>752</v>
      </c>
      <c r="P131" s="27" t="s">
        <v>37</v>
      </c>
      <c r="Q131" s="53"/>
      <c r="R131" s="198" t="s">
        <v>89</v>
      </c>
      <c r="S131" s="198" t="s">
        <v>35</v>
      </c>
      <c r="T131" s="148" t="s">
        <v>35</v>
      </c>
      <c r="U131" s="148" t="s">
        <v>35</v>
      </c>
      <c r="V131" s="148" t="s">
        <v>35</v>
      </c>
      <c r="W131" s="204" t="s">
        <v>66</v>
      </c>
      <c r="X131" s="27" t="s">
        <v>112</v>
      </c>
      <c r="Y131" s="27" t="s">
        <v>753</v>
      </c>
      <c r="Z131" s="345" t="s">
        <v>751</v>
      </c>
      <c r="AA131" s="166" t="s">
        <v>91</v>
      </c>
      <c r="AB131" s="166"/>
    </row>
    <row r="132" spans="1:28" ht="30" hidden="1" customHeight="1">
      <c r="A132" s="166">
        <f t="shared" si="1"/>
        <v>91</v>
      </c>
      <c r="B132" s="47" t="s">
        <v>754</v>
      </c>
      <c r="C132" s="148" t="s">
        <v>755</v>
      </c>
      <c r="D132" s="148" t="s">
        <v>440</v>
      </c>
      <c r="E132" s="166" t="s">
        <v>441</v>
      </c>
      <c r="F132" s="148" t="s">
        <v>210</v>
      </c>
      <c r="G132" s="148" t="s">
        <v>211</v>
      </c>
      <c r="H132" s="148" t="s">
        <v>212</v>
      </c>
      <c r="I132" s="313">
        <v>671</v>
      </c>
      <c r="J132" s="318">
        <v>671</v>
      </c>
      <c r="K132" s="341">
        <v>671</v>
      </c>
      <c r="L132" s="148" t="s">
        <v>756</v>
      </c>
      <c r="M132" s="166">
        <v>2002</v>
      </c>
      <c r="N132" s="879">
        <v>37315</v>
      </c>
      <c r="O132" s="206" t="s">
        <v>695</v>
      </c>
      <c r="P132" s="27" t="s">
        <v>37</v>
      </c>
      <c r="Q132" s="53"/>
      <c r="R132" s="198" t="s">
        <v>89</v>
      </c>
      <c r="S132" s="198" t="s">
        <v>35</v>
      </c>
      <c r="T132" s="148" t="s">
        <v>35</v>
      </c>
      <c r="U132" s="148" t="s">
        <v>35</v>
      </c>
      <c r="V132" s="148" t="s">
        <v>35</v>
      </c>
      <c r="W132" s="204" t="s">
        <v>66</v>
      </c>
      <c r="X132" s="923" t="s">
        <v>757</v>
      </c>
      <c r="Y132" s="923">
        <v>3013</v>
      </c>
      <c r="Z132" s="148" t="s">
        <v>756</v>
      </c>
      <c r="AA132" s="166" t="s">
        <v>91</v>
      </c>
      <c r="AB132" s="166"/>
    </row>
    <row r="133" spans="1:28" ht="30" hidden="1" customHeight="1">
      <c r="A133" s="166">
        <f t="shared" ref="A133:A196" si="2">A132+1</f>
        <v>92</v>
      </c>
      <c r="B133" s="45" t="s">
        <v>758</v>
      </c>
      <c r="C133" s="148" t="s">
        <v>759</v>
      </c>
      <c r="D133" s="148" t="s">
        <v>440</v>
      </c>
      <c r="E133" s="166" t="s">
        <v>441</v>
      </c>
      <c r="F133" s="148" t="s">
        <v>210</v>
      </c>
      <c r="G133" s="148" t="s">
        <v>211</v>
      </c>
      <c r="H133" s="148" t="s">
        <v>212</v>
      </c>
      <c r="I133" s="313">
        <v>496</v>
      </c>
      <c r="J133" s="340">
        <v>0</v>
      </c>
      <c r="K133" s="341">
        <v>496</v>
      </c>
      <c r="L133" s="148" t="s">
        <v>760</v>
      </c>
      <c r="M133" s="166">
        <v>2002</v>
      </c>
      <c r="N133" s="879">
        <v>37321</v>
      </c>
      <c r="O133" s="206" t="s">
        <v>739</v>
      </c>
      <c r="P133" s="27" t="s">
        <v>37</v>
      </c>
      <c r="Q133" s="53"/>
      <c r="R133" s="190" t="s">
        <v>38</v>
      </c>
      <c r="S133" s="194" t="s">
        <v>39</v>
      </c>
      <c r="T133" s="200" t="s">
        <v>761</v>
      </c>
      <c r="U133" s="200">
        <v>2007</v>
      </c>
      <c r="V133" s="200" t="s">
        <v>77</v>
      </c>
      <c r="W133" s="204" t="s">
        <v>66</v>
      </c>
      <c r="X133" s="923" t="s">
        <v>696</v>
      </c>
      <c r="Y133" s="923">
        <v>3016</v>
      </c>
      <c r="Z133" s="148" t="s">
        <v>760</v>
      </c>
      <c r="AA133" s="900"/>
      <c r="AB133" s="900"/>
    </row>
    <row r="134" spans="1:28" ht="30" hidden="1" customHeight="1">
      <c r="A134" s="166">
        <f t="shared" si="2"/>
        <v>93</v>
      </c>
      <c r="B134" s="47" t="s">
        <v>762</v>
      </c>
      <c r="C134" s="148" t="s">
        <v>190</v>
      </c>
      <c r="D134" s="148" t="s">
        <v>440</v>
      </c>
      <c r="E134" s="166" t="s">
        <v>441</v>
      </c>
      <c r="F134" s="148" t="s">
        <v>210</v>
      </c>
      <c r="G134" s="148" t="s">
        <v>211</v>
      </c>
      <c r="H134" s="148" t="s">
        <v>212</v>
      </c>
      <c r="I134" s="313">
        <v>675</v>
      </c>
      <c r="J134" s="318">
        <v>675</v>
      </c>
      <c r="K134" s="341">
        <v>675</v>
      </c>
      <c r="L134" s="148" t="s">
        <v>763</v>
      </c>
      <c r="M134" s="166">
        <v>2002</v>
      </c>
      <c r="N134" s="879">
        <v>37316</v>
      </c>
      <c r="O134" s="206" t="s">
        <v>705</v>
      </c>
      <c r="P134" s="27" t="s">
        <v>37</v>
      </c>
      <c r="Q134" s="53"/>
      <c r="R134" s="190" t="s">
        <v>38</v>
      </c>
      <c r="S134" s="194" t="s">
        <v>39</v>
      </c>
      <c r="T134" s="200" t="s">
        <v>764</v>
      </c>
      <c r="U134" s="195">
        <v>2007</v>
      </c>
      <c r="V134" s="196" t="s">
        <v>77</v>
      </c>
      <c r="W134" s="66" t="s">
        <v>66</v>
      </c>
      <c r="X134" s="923" t="s">
        <v>757</v>
      </c>
      <c r="Y134" s="923">
        <v>3018</v>
      </c>
      <c r="Z134" s="148" t="s">
        <v>763</v>
      </c>
      <c r="AA134" s="900"/>
      <c r="AB134" s="900"/>
    </row>
    <row r="135" spans="1:28" ht="30" hidden="1" customHeight="1">
      <c r="A135" s="166">
        <f t="shared" si="2"/>
        <v>94</v>
      </c>
      <c r="B135" s="45" t="s">
        <v>765</v>
      </c>
      <c r="C135" s="148" t="s">
        <v>766</v>
      </c>
      <c r="D135" s="148" t="s">
        <v>440</v>
      </c>
      <c r="E135" s="166" t="s">
        <v>441</v>
      </c>
      <c r="F135" s="148" t="s">
        <v>32</v>
      </c>
      <c r="G135" s="148" t="s">
        <v>767</v>
      </c>
      <c r="H135" s="148" t="s">
        <v>32</v>
      </c>
      <c r="I135" s="313">
        <v>407</v>
      </c>
      <c r="J135" s="340">
        <v>0</v>
      </c>
      <c r="K135" s="341">
        <v>407</v>
      </c>
      <c r="L135" s="148" t="s">
        <v>768</v>
      </c>
      <c r="M135" s="166">
        <v>2002</v>
      </c>
      <c r="N135" s="879">
        <v>37532</v>
      </c>
      <c r="O135" s="206" t="s">
        <v>769</v>
      </c>
      <c r="P135" s="27" t="s">
        <v>37</v>
      </c>
      <c r="Q135" s="53"/>
      <c r="R135" s="190" t="s">
        <v>38</v>
      </c>
      <c r="S135" s="194" t="s">
        <v>39</v>
      </c>
      <c r="T135" s="200" t="s">
        <v>770</v>
      </c>
      <c r="U135" s="200">
        <v>2007</v>
      </c>
      <c r="V135" s="200" t="s">
        <v>77</v>
      </c>
      <c r="W135" s="204" t="s">
        <v>66</v>
      </c>
      <c r="X135" s="198" t="s">
        <v>771</v>
      </c>
      <c r="Y135" s="198">
        <v>3590</v>
      </c>
      <c r="Z135" s="148" t="s">
        <v>768</v>
      </c>
      <c r="AA135" s="900"/>
      <c r="AB135" s="900"/>
    </row>
    <row r="136" spans="1:28" ht="30" hidden="1" customHeight="1">
      <c r="A136" s="166">
        <f t="shared" si="2"/>
        <v>95</v>
      </c>
      <c r="B136" s="47" t="s">
        <v>772</v>
      </c>
      <c r="C136" s="148" t="s">
        <v>773</v>
      </c>
      <c r="D136" s="148" t="s">
        <v>440</v>
      </c>
      <c r="E136" s="166" t="s">
        <v>441</v>
      </c>
      <c r="F136" s="148" t="s">
        <v>210</v>
      </c>
      <c r="G136" s="148" t="s">
        <v>211</v>
      </c>
      <c r="H136" s="148" t="s">
        <v>212</v>
      </c>
      <c r="I136" s="313">
        <v>119.62</v>
      </c>
      <c r="J136" s="318">
        <v>119.62</v>
      </c>
      <c r="K136" s="341">
        <v>119.62</v>
      </c>
      <c r="L136" s="148" t="s">
        <v>774</v>
      </c>
      <c r="M136" s="166">
        <v>2002</v>
      </c>
      <c r="N136" s="879">
        <v>37315</v>
      </c>
      <c r="O136" s="206" t="s">
        <v>775</v>
      </c>
      <c r="P136" s="27" t="s">
        <v>37</v>
      </c>
      <c r="Q136" s="53"/>
      <c r="R136" s="198" t="s">
        <v>89</v>
      </c>
      <c r="S136" s="198" t="s">
        <v>35</v>
      </c>
      <c r="T136" s="148" t="s">
        <v>35</v>
      </c>
      <c r="U136" s="148" t="s">
        <v>35</v>
      </c>
      <c r="V136" s="148" t="s">
        <v>35</v>
      </c>
      <c r="W136" s="204" t="s">
        <v>66</v>
      </c>
      <c r="X136" s="27" t="s">
        <v>112</v>
      </c>
      <c r="Y136" s="27">
        <v>3012</v>
      </c>
      <c r="Z136" s="148" t="s">
        <v>774</v>
      </c>
      <c r="AA136" s="900"/>
      <c r="AB136" s="900"/>
    </row>
    <row r="137" spans="1:28" ht="30" hidden="1" customHeight="1">
      <c r="A137" s="166">
        <f t="shared" si="2"/>
        <v>96</v>
      </c>
      <c r="B137" s="45" t="s">
        <v>776</v>
      </c>
      <c r="C137" s="148" t="s">
        <v>777</v>
      </c>
      <c r="D137" s="148" t="s">
        <v>440</v>
      </c>
      <c r="E137" s="166" t="s">
        <v>441</v>
      </c>
      <c r="F137" s="148" t="s">
        <v>188</v>
      </c>
      <c r="G137" s="148" t="s">
        <v>257</v>
      </c>
      <c r="H137" s="148" t="s">
        <v>257</v>
      </c>
      <c r="I137" s="313">
        <v>15</v>
      </c>
      <c r="J137" s="318">
        <v>15</v>
      </c>
      <c r="K137" s="341">
        <v>15</v>
      </c>
      <c r="L137" s="148" t="s">
        <v>778</v>
      </c>
      <c r="M137" s="166">
        <v>2003</v>
      </c>
      <c r="N137" s="879" t="s">
        <v>571</v>
      </c>
      <c r="O137" s="206" t="s">
        <v>779</v>
      </c>
      <c r="P137" s="27" t="s">
        <v>37</v>
      </c>
      <c r="Q137" s="53"/>
      <c r="R137" s="198" t="s">
        <v>89</v>
      </c>
      <c r="S137" s="198" t="s">
        <v>35</v>
      </c>
      <c r="T137" s="148" t="s">
        <v>35</v>
      </c>
      <c r="U137" s="148" t="s">
        <v>35</v>
      </c>
      <c r="V137" s="148" t="s">
        <v>35</v>
      </c>
      <c r="W137" s="204" t="s">
        <v>66</v>
      </c>
      <c r="X137" s="27" t="s">
        <v>112</v>
      </c>
      <c r="Y137" s="27">
        <v>3786</v>
      </c>
      <c r="Z137" s="148" t="s">
        <v>778</v>
      </c>
      <c r="AA137" s="166" t="s">
        <v>91</v>
      </c>
      <c r="AB137" s="166"/>
    </row>
    <row r="138" spans="1:28" ht="30" hidden="1" customHeight="1">
      <c r="A138" s="166">
        <f t="shared" si="2"/>
        <v>97</v>
      </c>
      <c r="B138" s="47" t="s">
        <v>780</v>
      </c>
      <c r="C138" s="148" t="s">
        <v>781</v>
      </c>
      <c r="D138" s="148" t="s">
        <v>496</v>
      </c>
      <c r="E138" s="280" t="s">
        <v>497</v>
      </c>
      <c r="F138" s="148" t="s">
        <v>210</v>
      </c>
      <c r="G138" s="239" t="s">
        <v>388</v>
      </c>
      <c r="H138" s="148" t="s">
        <v>212</v>
      </c>
      <c r="I138" s="313">
        <v>1489.87</v>
      </c>
      <c r="J138" s="318">
        <v>1489.87</v>
      </c>
      <c r="K138" s="341">
        <v>1489.87</v>
      </c>
      <c r="L138" s="148" t="s">
        <v>782</v>
      </c>
      <c r="M138" s="166">
        <v>2003</v>
      </c>
      <c r="N138" s="879">
        <v>37720</v>
      </c>
      <c r="O138" s="53" t="s">
        <v>783</v>
      </c>
      <c r="P138" s="27" t="s">
        <v>37</v>
      </c>
      <c r="Q138" s="53"/>
      <c r="R138" s="198" t="s">
        <v>89</v>
      </c>
      <c r="S138" s="198" t="s">
        <v>35</v>
      </c>
      <c r="T138" s="148" t="s">
        <v>35</v>
      </c>
      <c r="U138" s="148" t="s">
        <v>35</v>
      </c>
      <c r="V138" s="148" t="s">
        <v>35</v>
      </c>
      <c r="W138" s="204" t="s">
        <v>66</v>
      </c>
      <c r="X138" s="27" t="s">
        <v>112</v>
      </c>
      <c r="Y138" s="27">
        <v>3384</v>
      </c>
      <c r="Z138" s="148" t="s">
        <v>782</v>
      </c>
      <c r="AA138" s="166" t="s">
        <v>91</v>
      </c>
      <c r="AB138" s="166"/>
    </row>
    <row r="139" spans="1:28" ht="30" hidden="1" customHeight="1">
      <c r="A139" s="166">
        <f t="shared" si="2"/>
        <v>98</v>
      </c>
      <c r="B139" s="45" t="s">
        <v>784</v>
      </c>
      <c r="C139" s="148" t="s">
        <v>785</v>
      </c>
      <c r="D139" s="148" t="s">
        <v>496</v>
      </c>
      <c r="E139" s="280" t="s">
        <v>497</v>
      </c>
      <c r="F139" s="148" t="s">
        <v>172</v>
      </c>
      <c r="G139" s="239" t="s">
        <v>786</v>
      </c>
      <c r="H139" s="148" t="s">
        <v>235</v>
      </c>
      <c r="I139" s="313">
        <v>215.87</v>
      </c>
      <c r="J139" s="318">
        <v>215.87</v>
      </c>
      <c r="K139" s="341">
        <v>215.87</v>
      </c>
      <c r="L139" s="148" t="s">
        <v>787</v>
      </c>
      <c r="M139" s="166">
        <v>2003</v>
      </c>
      <c r="N139" s="879">
        <v>38009</v>
      </c>
      <c r="O139" s="53" t="s">
        <v>788</v>
      </c>
      <c r="P139" s="27" t="s">
        <v>37</v>
      </c>
      <c r="Q139" s="53"/>
      <c r="R139" s="198" t="s">
        <v>89</v>
      </c>
      <c r="S139" s="198" t="s">
        <v>35</v>
      </c>
      <c r="T139" s="148" t="s">
        <v>35</v>
      </c>
      <c r="U139" s="148" t="s">
        <v>35</v>
      </c>
      <c r="V139" s="148" t="s">
        <v>35</v>
      </c>
      <c r="W139" s="204" t="s">
        <v>66</v>
      </c>
      <c r="X139" s="27" t="s">
        <v>112</v>
      </c>
      <c r="Y139" s="27">
        <v>3908</v>
      </c>
      <c r="Z139" s="148" t="s">
        <v>787</v>
      </c>
      <c r="AA139" s="166" t="s">
        <v>91</v>
      </c>
      <c r="AB139" s="166"/>
    </row>
    <row r="140" spans="1:28" ht="30" hidden="1" customHeight="1">
      <c r="A140" s="166">
        <f t="shared" si="2"/>
        <v>99</v>
      </c>
      <c r="B140" s="47" t="s">
        <v>789</v>
      </c>
      <c r="C140" s="148" t="s">
        <v>790</v>
      </c>
      <c r="D140" s="148" t="s">
        <v>440</v>
      </c>
      <c r="E140" s="166" t="s">
        <v>441</v>
      </c>
      <c r="F140" s="148" t="s">
        <v>188</v>
      </c>
      <c r="G140" s="148" t="s">
        <v>791</v>
      </c>
      <c r="H140" s="148" t="s">
        <v>190</v>
      </c>
      <c r="I140" s="313">
        <v>735.8</v>
      </c>
      <c r="J140" s="318">
        <v>735.8</v>
      </c>
      <c r="K140" s="341">
        <v>735.8</v>
      </c>
      <c r="L140" s="148" t="s">
        <v>792</v>
      </c>
      <c r="M140" s="166">
        <v>2004</v>
      </c>
      <c r="N140" s="879">
        <v>38257</v>
      </c>
      <c r="O140" s="206" t="s">
        <v>793</v>
      </c>
      <c r="P140" s="27" t="s">
        <v>37</v>
      </c>
      <c r="Q140" s="53"/>
      <c r="R140" s="190" t="s">
        <v>38</v>
      </c>
      <c r="S140" s="194" t="s">
        <v>39</v>
      </c>
      <c r="T140" s="200" t="s">
        <v>794</v>
      </c>
      <c r="U140" s="200">
        <v>2007</v>
      </c>
      <c r="V140" s="200" t="s">
        <v>77</v>
      </c>
      <c r="W140" s="204" t="s">
        <v>66</v>
      </c>
      <c r="X140" s="27" t="s">
        <v>112</v>
      </c>
      <c r="Y140" s="27">
        <v>4191</v>
      </c>
      <c r="Z140" s="148" t="s">
        <v>792</v>
      </c>
      <c r="AA140" s="900"/>
      <c r="AB140" s="900"/>
    </row>
    <row r="141" spans="1:28" ht="30" hidden="1" customHeight="1">
      <c r="A141" s="166">
        <f t="shared" si="2"/>
        <v>100</v>
      </c>
      <c r="B141" s="45" t="s">
        <v>795</v>
      </c>
      <c r="C141" s="148" t="s">
        <v>796</v>
      </c>
      <c r="D141" s="148" t="s">
        <v>440</v>
      </c>
      <c r="E141" s="166" t="s">
        <v>441</v>
      </c>
      <c r="F141" s="148" t="s">
        <v>172</v>
      </c>
      <c r="G141" s="148" t="s">
        <v>797</v>
      </c>
      <c r="H141" s="148" t="s">
        <v>235</v>
      </c>
      <c r="I141" s="313">
        <v>43.9</v>
      </c>
      <c r="J141" s="318">
        <v>43.9</v>
      </c>
      <c r="K141" s="341">
        <v>43.9</v>
      </c>
      <c r="L141" s="148" t="s">
        <v>798</v>
      </c>
      <c r="M141" s="166">
        <v>2004</v>
      </c>
      <c r="N141" s="879">
        <v>38223</v>
      </c>
      <c r="O141" s="206" t="s">
        <v>799</v>
      </c>
      <c r="P141" s="27" t="s">
        <v>37</v>
      </c>
      <c r="Q141" s="53"/>
      <c r="R141" s="198" t="s">
        <v>89</v>
      </c>
      <c r="S141" s="198" t="s">
        <v>35</v>
      </c>
      <c r="T141" s="148" t="s">
        <v>35</v>
      </c>
      <c r="U141" s="148" t="s">
        <v>35</v>
      </c>
      <c r="V141" s="148" t="s">
        <v>35</v>
      </c>
      <c r="W141" s="204" t="s">
        <v>66</v>
      </c>
      <c r="X141" s="27" t="s">
        <v>112</v>
      </c>
      <c r="Y141" s="27">
        <v>4175</v>
      </c>
      <c r="Z141" s="148" t="s">
        <v>798</v>
      </c>
      <c r="AA141" s="166" t="s">
        <v>91</v>
      </c>
      <c r="AB141" s="166"/>
    </row>
    <row r="142" spans="1:28" ht="30" hidden="1" customHeight="1">
      <c r="A142" s="166">
        <f t="shared" si="2"/>
        <v>101</v>
      </c>
      <c r="B142" s="47" t="s">
        <v>800</v>
      </c>
      <c r="C142" s="148" t="s">
        <v>801</v>
      </c>
      <c r="D142" s="148" t="s">
        <v>440</v>
      </c>
      <c r="E142" s="166" t="s">
        <v>441</v>
      </c>
      <c r="F142" s="148" t="s">
        <v>321</v>
      </c>
      <c r="G142" s="148" t="s">
        <v>802</v>
      </c>
      <c r="H142" s="148" t="s">
        <v>613</v>
      </c>
      <c r="I142" s="313">
        <v>945</v>
      </c>
      <c r="J142" s="318">
        <v>945</v>
      </c>
      <c r="K142" s="341">
        <v>945</v>
      </c>
      <c r="L142" s="148" t="s">
        <v>803</v>
      </c>
      <c r="M142" s="166">
        <v>2004</v>
      </c>
      <c r="N142" s="879">
        <v>38205</v>
      </c>
      <c r="O142" s="206" t="s">
        <v>804</v>
      </c>
      <c r="P142" s="27" t="s">
        <v>37</v>
      </c>
      <c r="Q142" s="53"/>
      <c r="R142" s="198" t="s">
        <v>89</v>
      </c>
      <c r="S142" s="198" t="s">
        <v>35</v>
      </c>
      <c r="T142" s="148" t="s">
        <v>35</v>
      </c>
      <c r="U142" s="148" t="s">
        <v>35</v>
      </c>
      <c r="V142" s="148" t="s">
        <v>35</v>
      </c>
      <c r="W142" s="204" t="s">
        <v>66</v>
      </c>
      <c r="X142" s="27" t="s">
        <v>112</v>
      </c>
      <c r="Y142" s="27">
        <v>4038</v>
      </c>
      <c r="Z142" s="148" t="s">
        <v>803</v>
      </c>
      <c r="AA142" s="166" t="s">
        <v>91</v>
      </c>
      <c r="AB142" s="166"/>
    </row>
    <row r="143" spans="1:28" ht="30" hidden="1" customHeight="1">
      <c r="A143" s="166">
        <f t="shared" si="2"/>
        <v>102</v>
      </c>
      <c r="B143" s="45" t="s">
        <v>805</v>
      </c>
      <c r="C143" s="148" t="s">
        <v>806</v>
      </c>
      <c r="D143" s="148" t="s">
        <v>496</v>
      </c>
      <c r="E143" s="280" t="s">
        <v>497</v>
      </c>
      <c r="F143" s="148" t="s">
        <v>180</v>
      </c>
      <c r="G143" s="239" t="s">
        <v>683</v>
      </c>
      <c r="H143" s="148" t="s">
        <v>394</v>
      </c>
      <c r="I143" s="313">
        <v>69</v>
      </c>
      <c r="J143" s="318">
        <v>69</v>
      </c>
      <c r="K143" s="341">
        <v>69</v>
      </c>
      <c r="L143" s="148" t="s">
        <v>807</v>
      </c>
      <c r="M143" s="166">
        <v>2004</v>
      </c>
      <c r="N143" s="879">
        <v>38119</v>
      </c>
      <c r="O143" s="53" t="s">
        <v>808</v>
      </c>
      <c r="P143" s="27" t="s">
        <v>37</v>
      </c>
      <c r="Q143" s="53"/>
      <c r="R143" s="190" t="s">
        <v>38</v>
      </c>
      <c r="S143" s="194" t="s">
        <v>39</v>
      </c>
      <c r="T143" s="200" t="s">
        <v>809</v>
      </c>
      <c r="U143" s="195">
        <v>2007</v>
      </c>
      <c r="V143" s="924" t="s">
        <v>77</v>
      </c>
      <c r="W143" s="66" t="s">
        <v>66</v>
      </c>
      <c r="X143" s="27" t="s">
        <v>112</v>
      </c>
      <c r="Y143" s="27">
        <v>3754</v>
      </c>
      <c r="Z143" s="148" t="s">
        <v>807</v>
      </c>
      <c r="AA143" s="900"/>
      <c r="AB143" s="900"/>
    </row>
    <row r="144" spans="1:28" ht="54.75" hidden="1" customHeight="1">
      <c r="A144" s="166">
        <f t="shared" si="2"/>
        <v>103</v>
      </c>
      <c r="B144" s="45" t="s">
        <v>810</v>
      </c>
      <c r="C144" s="903" t="s">
        <v>811</v>
      </c>
      <c r="D144" s="148" t="s">
        <v>496</v>
      </c>
      <c r="E144" s="280" t="s">
        <v>497</v>
      </c>
      <c r="F144" s="53" t="s">
        <v>535</v>
      </c>
      <c r="G144" s="239" t="s">
        <v>812</v>
      </c>
      <c r="H144" s="148" t="s">
        <v>813</v>
      </c>
      <c r="I144" s="313">
        <v>7255.4</v>
      </c>
      <c r="J144" s="318">
        <v>7255.4</v>
      </c>
      <c r="K144" s="341">
        <v>7255.4</v>
      </c>
      <c r="L144" s="148" t="s">
        <v>814</v>
      </c>
      <c r="M144" s="166">
        <v>2004</v>
      </c>
      <c r="N144" s="877">
        <v>39869</v>
      </c>
      <c r="O144" s="53" t="s">
        <v>815</v>
      </c>
      <c r="P144" s="27" t="s">
        <v>37</v>
      </c>
      <c r="Q144" s="53"/>
      <c r="R144" s="190" t="s">
        <v>38</v>
      </c>
      <c r="S144" s="205" t="s">
        <v>276</v>
      </c>
      <c r="T144" s="170" t="s">
        <v>816</v>
      </c>
      <c r="U144" s="195">
        <v>2015</v>
      </c>
      <c r="V144" s="924" t="s">
        <v>817</v>
      </c>
      <c r="W144" s="66" t="s">
        <v>66</v>
      </c>
      <c r="X144" s="27" t="s">
        <v>112</v>
      </c>
      <c r="Y144" s="27" t="s">
        <v>818</v>
      </c>
      <c r="Z144" s="148" t="s">
        <v>814</v>
      </c>
      <c r="AA144" s="166" t="s">
        <v>91</v>
      </c>
      <c r="AB144" s="166"/>
    </row>
    <row r="145" spans="1:28" ht="30" hidden="1" customHeight="1">
      <c r="A145" s="166">
        <f t="shared" si="2"/>
        <v>104</v>
      </c>
      <c r="B145" s="47" t="s">
        <v>819</v>
      </c>
      <c r="C145" s="148" t="s">
        <v>820</v>
      </c>
      <c r="D145" s="148" t="s">
        <v>440</v>
      </c>
      <c r="E145" s="166" t="s">
        <v>441</v>
      </c>
      <c r="F145" s="53" t="s">
        <v>172</v>
      </c>
      <c r="G145" s="148" t="s">
        <v>821</v>
      </c>
      <c r="H145" s="53" t="s">
        <v>174</v>
      </c>
      <c r="I145" s="313">
        <v>64.3</v>
      </c>
      <c r="J145" s="318">
        <v>64.3</v>
      </c>
      <c r="K145" s="341">
        <v>64.3</v>
      </c>
      <c r="L145" s="148" t="s">
        <v>822</v>
      </c>
      <c r="M145" s="166">
        <v>2005</v>
      </c>
      <c r="N145" s="879">
        <v>38366</v>
      </c>
      <c r="O145" s="206" t="s">
        <v>823</v>
      </c>
      <c r="P145" s="27" t="s">
        <v>37</v>
      </c>
      <c r="Q145" s="53"/>
      <c r="R145" s="198" t="s">
        <v>89</v>
      </c>
      <c r="S145" s="198" t="s">
        <v>35</v>
      </c>
      <c r="T145" s="148" t="s">
        <v>35</v>
      </c>
      <c r="U145" s="148" t="s">
        <v>35</v>
      </c>
      <c r="V145" s="148" t="s">
        <v>35</v>
      </c>
      <c r="W145" s="204" t="s">
        <v>66</v>
      </c>
      <c r="X145" s="27" t="s">
        <v>112</v>
      </c>
      <c r="Y145" s="27">
        <v>4262</v>
      </c>
      <c r="Z145" s="148" t="s">
        <v>822</v>
      </c>
      <c r="AA145" s="166" t="s">
        <v>91</v>
      </c>
      <c r="AB145" s="166"/>
    </row>
    <row r="146" spans="1:28" ht="44.25" hidden="1" customHeight="1">
      <c r="A146" s="166">
        <f t="shared" si="2"/>
        <v>105</v>
      </c>
      <c r="B146" s="45" t="s">
        <v>824</v>
      </c>
      <c r="C146" s="281" t="s">
        <v>825</v>
      </c>
      <c r="D146" s="53" t="s">
        <v>403</v>
      </c>
      <c r="E146" s="166" t="s">
        <v>127</v>
      </c>
      <c r="F146" s="197" t="s">
        <v>210</v>
      </c>
      <c r="G146" s="148" t="s">
        <v>211</v>
      </c>
      <c r="H146" s="53" t="s">
        <v>212</v>
      </c>
      <c r="I146" s="313">
        <v>35202</v>
      </c>
      <c r="J146" s="319">
        <v>35202</v>
      </c>
      <c r="K146" s="817">
        <v>35202</v>
      </c>
      <c r="L146" s="197" t="s">
        <v>826</v>
      </c>
      <c r="M146" s="197">
        <v>2005</v>
      </c>
      <c r="N146" s="179" t="s">
        <v>35</v>
      </c>
      <c r="O146" s="66" t="s">
        <v>73</v>
      </c>
      <c r="P146" s="27" t="s">
        <v>74</v>
      </c>
      <c r="Q146" s="168" t="s">
        <v>63</v>
      </c>
      <c r="R146" s="194" t="s">
        <v>89</v>
      </c>
      <c r="S146" s="199" t="s">
        <v>90</v>
      </c>
      <c r="T146" s="148" t="s">
        <v>35</v>
      </c>
      <c r="U146" s="148" t="s">
        <v>35</v>
      </c>
      <c r="V146" s="148" t="s">
        <v>35</v>
      </c>
      <c r="W146" s="204" t="s">
        <v>66</v>
      </c>
      <c r="X146" s="27" t="s">
        <v>112</v>
      </c>
      <c r="Y146" s="27" t="s">
        <v>67</v>
      </c>
      <c r="Z146" s="148" t="s">
        <v>827</v>
      </c>
      <c r="AA146" s="148" t="s">
        <v>828</v>
      </c>
      <c r="AB146" s="198" t="s">
        <v>829</v>
      </c>
    </row>
    <row r="147" spans="1:28" ht="30" hidden="1" customHeight="1">
      <c r="A147" s="166">
        <f t="shared" si="2"/>
        <v>106</v>
      </c>
      <c r="B147" s="47" t="s">
        <v>830</v>
      </c>
      <c r="C147" s="202" t="s">
        <v>831</v>
      </c>
      <c r="D147" s="53" t="s">
        <v>126</v>
      </c>
      <c r="E147" s="166" t="s">
        <v>127</v>
      </c>
      <c r="F147" s="197" t="s">
        <v>210</v>
      </c>
      <c r="G147" s="148" t="s">
        <v>229</v>
      </c>
      <c r="H147" s="53" t="s">
        <v>832</v>
      </c>
      <c r="I147" s="322">
        <v>151878.45000000001</v>
      </c>
      <c r="J147" s="815">
        <v>151878.45000000001</v>
      </c>
      <c r="K147" s="816">
        <v>151878.45000000001</v>
      </c>
      <c r="L147" s="239" t="s">
        <v>833</v>
      </c>
      <c r="M147" s="197">
        <v>2005</v>
      </c>
      <c r="N147" s="179" t="s">
        <v>35</v>
      </c>
      <c r="O147" s="66" t="s">
        <v>73</v>
      </c>
      <c r="P147" s="27" t="s">
        <v>74</v>
      </c>
      <c r="Q147" s="50" t="s">
        <v>75</v>
      </c>
      <c r="R147" s="190" t="s">
        <v>38</v>
      </c>
      <c r="S147" s="194" t="s">
        <v>53</v>
      </c>
      <c r="T147" s="200" t="s">
        <v>834</v>
      </c>
      <c r="U147" s="195">
        <v>2007</v>
      </c>
      <c r="V147" s="196" t="s">
        <v>77</v>
      </c>
      <c r="W147" s="66" t="s">
        <v>66</v>
      </c>
      <c r="X147" s="27" t="s">
        <v>112</v>
      </c>
      <c r="Y147" s="27" t="s">
        <v>67</v>
      </c>
      <c r="Z147" s="148" t="s">
        <v>835</v>
      </c>
      <c r="AA147" s="148" t="s">
        <v>836</v>
      </c>
      <c r="AB147" s="198" t="s">
        <v>837</v>
      </c>
    </row>
    <row r="148" spans="1:28" ht="30" hidden="1" customHeight="1">
      <c r="A148" s="166">
        <f t="shared" si="2"/>
        <v>107</v>
      </c>
      <c r="B148" s="45" t="s">
        <v>838</v>
      </c>
      <c r="C148" s="234" t="s">
        <v>839</v>
      </c>
      <c r="D148" s="282" t="s">
        <v>840</v>
      </c>
      <c r="E148" s="166" t="s">
        <v>49</v>
      </c>
      <c r="F148" s="197" t="s">
        <v>180</v>
      </c>
      <c r="G148" s="148" t="s">
        <v>181</v>
      </c>
      <c r="H148" s="53" t="s">
        <v>182</v>
      </c>
      <c r="I148" s="320">
        <v>1837.55</v>
      </c>
      <c r="J148" s="321">
        <v>1837.55</v>
      </c>
      <c r="K148" s="818">
        <v>1837.55</v>
      </c>
      <c r="L148" s="239" t="s">
        <v>841</v>
      </c>
      <c r="M148" s="197">
        <v>2005</v>
      </c>
      <c r="N148" s="179" t="s">
        <v>35</v>
      </c>
      <c r="O148" s="54" t="s">
        <v>73</v>
      </c>
      <c r="P148" s="27" t="s">
        <v>74</v>
      </c>
      <c r="Q148" s="53" t="s">
        <v>478</v>
      </c>
      <c r="R148" s="198" t="s">
        <v>89</v>
      </c>
      <c r="S148" s="199" t="s">
        <v>90</v>
      </c>
      <c r="T148" s="148" t="s">
        <v>35</v>
      </c>
      <c r="U148" s="148" t="s">
        <v>35</v>
      </c>
      <c r="V148" s="148" t="s">
        <v>35</v>
      </c>
      <c r="W148" s="54" t="s">
        <v>66</v>
      </c>
      <c r="X148" s="27" t="s">
        <v>112</v>
      </c>
      <c r="Y148" s="27" t="s">
        <v>67</v>
      </c>
      <c r="Z148" s="239" t="s">
        <v>842</v>
      </c>
      <c r="AA148" s="239" t="s">
        <v>843</v>
      </c>
      <c r="AB148" s="28" t="s">
        <v>844</v>
      </c>
    </row>
    <row r="149" spans="1:28" ht="30" hidden="1" customHeight="1">
      <c r="A149" s="166">
        <f t="shared" si="2"/>
        <v>108</v>
      </c>
      <c r="B149" s="47" t="s">
        <v>845</v>
      </c>
      <c r="C149" s="148" t="s">
        <v>846</v>
      </c>
      <c r="D149" s="53" t="s">
        <v>847</v>
      </c>
      <c r="E149" s="239" t="s">
        <v>127</v>
      </c>
      <c r="F149" s="53" t="s">
        <v>180</v>
      </c>
      <c r="G149" s="239" t="s">
        <v>848</v>
      </c>
      <c r="H149" s="53" t="s">
        <v>182</v>
      </c>
      <c r="I149" s="905">
        <v>39.39</v>
      </c>
      <c r="J149" s="928">
        <v>39.39</v>
      </c>
      <c r="K149" s="819">
        <v>39.39</v>
      </c>
      <c r="L149" s="239" t="s">
        <v>849</v>
      </c>
      <c r="M149" s="148">
        <v>2005</v>
      </c>
      <c r="N149" s="877">
        <v>38443</v>
      </c>
      <c r="O149" s="239" t="s">
        <v>850</v>
      </c>
      <c r="P149" s="250" t="s">
        <v>37</v>
      </c>
      <c r="Q149" s="53"/>
      <c r="R149" s="198" t="s">
        <v>89</v>
      </c>
      <c r="S149" s="198" t="s">
        <v>35</v>
      </c>
      <c r="T149" s="148" t="s">
        <v>35</v>
      </c>
      <c r="U149" s="148" t="s">
        <v>35</v>
      </c>
      <c r="V149" s="148" t="s">
        <v>35</v>
      </c>
      <c r="W149" s="204" t="s">
        <v>66</v>
      </c>
      <c r="X149" s="27" t="s">
        <v>112</v>
      </c>
      <c r="Y149" s="27">
        <v>3777</v>
      </c>
      <c r="Z149" s="239" t="s">
        <v>849</v>
      </c>
      <c r="AA149" s="166" t="s">
        <v>91</v>
      </c>
      <c r="AB149" s="166"/>
    </row>
    <row r="150" spans="1:28" ht="30" hidden="1" customHeight="1">
      <c r="A150" s="166">
        <f t="shared" si="2"/>
        <v>109</v>
      </c>
      <c r="B150" s="45" t="s">
        <v>851</v>
      </c>
      <c r="C150" s="148" t="s">
        <v>852</v>
      </c>
      <c r="D150" s="53" t="s">
        <v>847</v>
      </c>
      <c r="E150" s="239" t="s">
        <v>127</v>
      </c>
      <c r="F150" s="53" t="s">
        <v>180</v>
      </c>
      <c r="G150" s="239" t="s">
        <v>848</v>
      </c>
      <c r="H150" s="53" t="s">
        <v>182</v>
      </c>
      <c r="I150" s="905">
        <v>119.107</v>
      </c>
      <c r="J150" s="928">
        <v>119.107</v>
      </c>
      <c r="K150" s="819">
        <v>119.107</v>
      </c>
      <c r="L150" s="239" t="s">
        <v>853</v>
      </c>
      <c r="M150" s="148">
        <v>2005</v>
      </c>
      <c r="N150" s="877">
        <v>38443</v>
      </c>
      <c r="O150" s="239" t="s">
        <v>850</v>
      </c>
      <c r="P150" s="250" t="s">
        <v>37</v>
      </c>
      <c r="Q150" s="53"/>
      <c r="R150" s="198" t="s">
        <v>89</v>
      </c>
      <c r="S150" s="198" t="s">
        <v>35</v>
      </c>
      <c r="T150" s="148" t="s">
        <v>35</v>
      </c>
      <c r="U150" s="148" t="s">
        <v>35</v>
      </c>
      <c r="V150" s="148" t="s">
        <v>35</v>
      </c>
      <c r="W150" s="204" t="s">
        <v>66</v>
      </c>
      <c r="X150" s="27" t="s">
        <v>112</v>
      </c>
      <c r="Y150" s="27">
        <v>3778</v>
      </c>
      <c r="Z150" s="239" t="s">
        <v>853</v>
      </c>
      <c r="AA150" s="166" t="s">
        <v>91</v>
      </c>
      <c r="AB150" s="166"/>
    </row>
    <row r="151" spans="1:28" ht="30" hidden="1" customHeight="1">
      <c r="A151" s="166">
        <f t="shared" si="2"/>
        <v>110</v>
      </c>
      <c r="B151" s="47" t="s">
        <v>854</v>
      </c>
      <c r="C151" s="234" t="s">
        <v>855</v>
      </c>
      <c r="D151" s="53" t="s">
        <v>856</v>
      </c>
      <c r="E151" s="239" t="s">
        <v>497</v>
      </c>
      <c r="F151" s="53" t="s">
        <v>180</v>
      </c>
      <c r="G151" s="239" t="s">
        <v>848</v>
      </c>
      <c r="H151" s="53" t="s">
        <v>182</v>
      </c>
      <c r="I151" s="320">
        <v>38.28</v>
      </c>
      <c r="J151" s="321">
        <v>38.28</v>
      </c>
      <c r="K151" s="818">
        <v>38.28</v>
      </c>
      <c r="L151" s="239" t="s">
        <v>857</v>
      </c>
      <c r="M151" s="53">
        <v>2005</v>
      </c>
      <c r="N151" s="877">
        <v>38446</v>
      </c>
      <c r="O151" s="239" t="s">
        <v>850</v>
      </c>
      <c r="P151" s="250" t="s">
        <v>37</v>
      </c>
      <c r="Q151" s="53"/>
      <c r="R151" s="198" t="s">
        <v>89</v>
      </c>
      <c r="S151" s="199" t="s">
        <v>90</v>
      </c>
      <c r="T151" s="148" t="s">
        <v>35</v>
      </c>
      <c r="U151" s="148" t="s">
        <v>35</v>
      </c>
      <c r="V151" s="148" t="s">
        <v>35</v>
      </c>
      <c r="W151" s="204" t="s">
        <v>66</v>
      </c>
      <c r="X151" s="27" t="s">
        <v>112</v>
      </c>
      <c r="Y151" s="27">
        <v>4285</v>
      </c>
      <c r="Z151" s="239" t="s">
        <v>857</v>
      </c>
      <c r="AA151" s="166" t="s">
        <v>91</v>
      </c>
      <c r="AB151" s="166"/>
    </row>
    <row r="152" spans="1:28" ht="30" hidden="1" customHeight="1">
      <c r="A152" s="166">
        <f t="shared" si="2"/>
        <v>111</v>
      </c>
      <c r="B152" s="45" t="s">
        <v>858</v>
      </c>
      <c r="C152" s="53" t="s">
        <v>859</v>
      </c>
      <c r="D152" s="148" t="s">
        <v>496</v>
      </c>
      <c r="E152" s="239" t="s">
        <v>497</v>
      </c>
      <c r="F152" s="53" t="s">
        <v>172</v>
      </c>
      <c r="G152" s="239" t="s">
        <v>860</v>
      </c>
      <c r="H152" s="53" t="s">
        <v>174</v>
      </c>
      <c r="I152" s="313">
        <v>90</v>
      </c>
      <c r="J152" s="318">
        <v>90</v>
      </c>
      <c r="K152" s="341">
        <v>90</v>
      </c>
      <c r="L152" s="148" t="s">
        <v>861</v>
      </c>
      <c r="M152" s="166">
        <v>2005</v>
      </c>
      <c r="N152" s="887">
        <v>38482</v>
      </c>
      <c r="O152" s="239" t="s">
        <v>862</v>
      </c>
      <c r="P152" s="250" t="s">
        <v>37</v>
      </c>
      <c r="Q152" s="53"/>
      <c r="R152" s="198" t="s">
        <v>89</v>
      </c>
      <c r="S152" s="198" t="s">
        <v>35</v>
      </c>
      <c r="T152" s="148" t="s">
        <v>35</v>
      </c>
      <c r="U152" s="148" t="s">
        <v>35</v>
      </c>
      <c r="V152" s="148" t="s">
        <v>35</v>
      </c>
      <c r="W152" s="204" t="s">
        <v>66</v>
      </c>
      <c r="X152" s="27" t="s">
        <v>112</v>
      </c>
      <c r="Y152" s="27">
        <v>4236</v>
      </c>
      <c r="Z152" s="148" t="s">
        <v>861</v>
      </c>
      <c r="AA152" s="166" t="s">
        <v>91</v>
      </c>
      <c r="AB152" s="166"/>
    </row>
    <row r="153" spans="1:28" ht="30" hidden="1" customHeight="1">
      <c r="A153" s="166">
        <f t="shared" si="2"/>
        <v>112</v>
      </c>
      <c r="B153" s="47" t="s">
        <v>863</v>
      </c>
      <c r="C153" s="53" t="s">
        <v>864</v>
      </c>
      <c r="D153" s="53" t="s">
        <v>440</v>
      </c>
      <c r="E153" s="148" t="s">
        <v>441</v>
      </c>
      <c r="F153" s="53" t="s">
        <v>164</v>
      </c>
      <c r="G153" s="148" t="s">
        <v>865</v>
      </c>
      <c r="H153" s="53" t="s">
        <v>348</v>
      </c>
      <c r="I153" s="313">
        <v>243.75</v>
      </c>
      <c r="J153" s="318">
        <v>243.75</v>
      </c>
      <c r="K153" s="341">
        <v>243.75</v>
      </c>
      <c r="L153" s="148" t="s">
        <v>866</v>
      </c>
      <c r="M153" s="166">
        <v>2005</v>
      </c>
      <c r="N153" s="879">
        <v>38595</v>
      </c>
      <c r="O153" s="206" t="s">
        <v>867</v>
      </c>
      <c r="P153" s="27" t="s">
        <v>37</v>
      </c>
      <c r="Q153" s="53"/>
      <c r="R153" s="198" t="s">
        <v>89</v>
      </c>
      <c r="S153" s="198" t="s">
        <v>35</v>
      </c>
      <c r="T153" s="148" t="s">
        <v>35</v>
      </c>
      <c r="U153" s="148" t="s">
        <v>35</v>
      </c>
      <c r="V153" s="148" t="s">
        <v>35</v>
      </c>
      <c r="W153" s="204" t="s">
        <v>66</v>
      </c>
      <c r="X153" s="27" t="s">
        <v>112</v>
      </c>
      <c r="Y153" s="27">
        <v>4308</v>
      </c>
      <c r="Z153" s="148" t="s">
        <v>866</v>
      </c>
      <c r="AA153" s="166" t="s">
        <v>91</v>
      </c>
      <c r="AB153" s="166"/>
    </row>
    <row r="154" spans="1:28" ht="30" hidden="1" customHeight="1">
      <c r="A154" s="166">
        <f t="shared" si="2"/>
        <v>113</v>
      </c>
      <c r="B154" s="45" t="s">
        <v>868</v>
      </c>
      <c r="C154" s="53" t="s">
        <v>869</v>
      </c>
      <c r="D154" s="53" t="s">
        <v>440</v>
      </c>
      <c r="E154" s="148" t="s">
        <v>441</v>
      </c>
      <c r="F154" s="53" t="s">
        <v>32</v>
      </c>
      <c r="G154" s="148" t="s">
        <v>59</v>
      </c>
      <c r="H154" s="53" t="s">
        <v>32</v>
      </c>
      <c r="I154" s="313">
        <v>39.08</v>
      </c>
      <c r="J154" s="318">
        <v>39.08</v>
      </c>
      <c r="K154" s="341">
        <v>39.08</v>
      </c>
      <c r="L154" s="148" t="s">
        <v>870</v>
      </c>
      <c r="M154" s="280">
        <v>2006</v>
      </c>
      <c r="N154" s="879">
        <v>38743</v>
      </c>
      <c r="O154" s="929" t="s">
        <v>871</v>
      </c>
      <c r="P154" s="250" t="s">
        <v>37</v>
      </c>
      <c r="Q154" s="53"/>
      <c r="R154" s="198" t="s">
        <v>89</v>
      </c>
      <c r="S154" s="198" t="s">
        <v>35</v>
      </c>
      <c r="T154" s="148" t="s">
        <v>35</v>
      </c>
      <c r="U154" s="148" t="s">
        <v>35</v>
      </c>
      <c r="V154" s="148" t="s">
        <v>35</v>
      </c>
      <c r="W154" s="204" t="s">
        <v>66</v>
      </c>
      <c r="X154" s="27" t="s">
        <v>112</v>
      </c>
      <c r="Y154" s="27">
        <v>4612</v>
      </c>
      <c r="Z154" s="148" t="s">
        <v>870</v>
      </c>
      <c r="AA154" s="166" t="s">
        <v>91</v>
      </c>
      <c r="AB154" s="166"/>
    </row>
    <row r="155" spans="1:28" ht="30" hidden="1" customHeight="1">
      <c r="A155" s="166">
        <f t="shared" si="2"/>
        <v>114</v>
      </c>
      <c r="B155" s="47" t="s">
        <v>872</v>
      </c>
      <c r="C155" s="53" t="s">
        <v>873</v>
      </c>
      <c r="D155" s="53" t="s">
        <v>440</v>
      </c>
      <c r="E155" s="148" t="s">
        <v>441</v>
      </c>
      <c r="F155" s="53" t="s">
        <v>180</v>
      </c>
      <c r="G155" s="148" t="s">
        <v>635</v>
      </c>
      <c r="H155" s="53" t="s">
        <v>394</v>
      </c>
      <c r="I155" s="313">
        <v>19.2</v>
      </c>
      <c r="J155" s="318">
        <v>19.2</v>
      </c>
      <c r="K155" s="341">
        <v>19.2</v>
      </c>
      <c r="L155" s="148" t="s">
        <v>874</v>
      </c>
      <c r="M155" s="280">
        <v>2006</v>
      </c>
      <c r="N155" s="879">
        <v>38895</v>
      </c>
      <c r="O155" s="929" t="s">
        <v>875</v>
      </c>
      <c r="P155" s="250" t="s">
        <v>37</v>
      </c>
      <c r="Q155" s="53"/>
      <c r="R155" s="198" t="s">
        <v>89</v>
      </c>
      <c r="S155" s="198" t="s">
        <v>35</v>
      </c>
      <c r="T155" s="148" t="s">
        <v>35</v>
      </c>
      <c r="U155" s="148" t="s">
        <v>35</v>
      </c>
      <c r="V155" s="148" t="s">
        <v>35</v>
      </c>
      <c r="W155" s="204" t="s">
        <v>66</v>
      </c>
      <c r="X155" s="27" t="s">
        <v>112</v>
      </c>
      <c r="Y155" s="27">
        <v>4832</v>
      </c>
      <c r="Z155" s="148" t="s">
        <v>874</v>
      </c>
      <c r="AA155" s="166" t="s">
        <v>91</v>
      </c>
      <c r="AB155" s="166"/>
    </row>
    <row r="156" spans="1:28" ht="30" hidden="1" customHeight="1">
      <c r="A156" s="166">
        <f t="shared" si="2"/>
        <v>115</v>
      </c>
      <c r="B156" s="45" t="s">
        <v>876</v>
      </c>
      <c r="C156" s="53" t="s">
        <v>877</v>
      </c>
      <c r="D156" s="53" t="s">
        <v>440</v>
      </c>
      <c r="E156" s="148" t="s">
        <v>441</v>
      </c>
      <c r="F156" s="53" t="s">
        <v>180</v>
      </c>
      <c r="G156" s="148" t="s">
        <v>603</v>
      </c>
      <c r="H156" s="53" t="s">
        <v>878</v>
      </c>
      <c r="I156" s="313">
        <v>30</v>
      </c>
      <c r="J156" s="318">
        <v>30</v>
      </c>
      <c r="K156" s="341">
        <v>30</v>
      </c>
      <c r="L156" s="148" t="s">
        <v>879</v>
      </c>
      <c r="M156" s="280">
        <v>2006</v>
      </c>
      <c r="N156" s="879">
        <v>38862</v>
      </c>
      <c r="O156" s="929" t="s">
        <v>880</v>
      </c>
      <c r="P156" s="250" t="s">
        <v>37</v>
      </c>
      <c r="Q156" s="53"/>
      <c r="R156" s="198" t="s">
        <v>89</v>
      </c>
      <c r="S156" s="198" t="s">
        <v>35</v>
      </c>
      <c r="T156" s="148" t="s">
        <v>35</v>
      </c>
      <c r="U156" s="148" t="s">
        <v>35</v>
      </c>
      <c r="V156" s="148" t="s">
        <v>35</v>
      </c>
      <c r="W156" s="204" t="s">
        <v>66</v>
      </c>
      <c r="X156" s="27" t="s">
        <v>112</v>
      </c>
      <c r="Y156" s="27">
        <v>4828</v>
      </c>
      <c r="Z156" s="148" t="s">
        <v>879</v>
      </c>
      <c r="AA156" s="166" t="s">
        <v>91</v>
      </c>
      <c r="AB156" s="166"/>
    </row>
    <row r="157" spans="1:28" ht="30" hidden="1" customHeight="1">
      <c r="A157" s="166">
        <f t="shared" si="2"/>
        <v>116</v>
      </c>
      <c r="B157" s="47" t="s">
        <v>881</v>
      </c>
      <c r="C157" s="239" t="s">
        <v>882</v>
      </c>
      <c r="D157" s="53" t="s">
        <v>440</v>
      </c>
      <c r="E157" s="148" t="s">
        <v>441</v>
      </c>
      <c r="F157" s="53" t="s">
        <v>210</v>
      </c>
      <c r="G157" s="148" t="s">
        <v>457</v>
      </c>
      <c r="H157" s="53" t="s">
        <v>212</v>
      </c>
      <c r="I157" s="313">
        <v>676.22299999999996</v>
      </c>
      <c r="J157" s="340">
        <v>0</v>
      </c>
      <c r="K157" s="341">
        <v>676.22299999999996</v>
      </c>
      <c r="L157" s="148" t="s">
        <v>883</v>
      </c>
      <c r="M157" s="280">
        <v>2006</v>
      </c>
      <c r="N157" s="879">
        <v>38905</v>
      </c>
      <c r="O157" s="929" t="s">
        <v>884</v>
      </c>
      <c r="P157" s="250" t="s">
        <v>37</v>
      </c>
      <c r="Q157" s="53"/>
      <c r="R157" s="198" t="s">
        <v>89</v>
      </c>
      <c r="S157" s="198" t="s">
        <v>35</v>
      </c>
      <c r="T157" s="148" t="s">
        <v>35</v>
      </c>
      <c r="U157" s="148" t="s">
        <v>35</v>
      </c>
      <c r="V157" s="148" t="s">
        <v>35</v>
      </c>
      <c r="W157" s="204" t="s">
        <v>66</v>
      </c>
      <c r="X157" s="137" t="s">
        <v>885</v>
      </c>
      <c r="Y157" s="137">
        <v>4408</v>
      </c>
      <c r="Z157" s="148" t="s">
        <v>883</v>
      </c>
      <c r="AA157" s="166" t="s">
        <v>91</v>
      </c>
      <c r="AB157" s="166"/>
    </row>
    <row r="158" spans="1:28" ht="30" hidden="1" customHeight="1">
      <c r="A158" s="166">
        <f t="shared" si="2"/>
        <v>117</v>
      </c>
      <c r="B158" s="45" t="s">
        <v>886</v>
      </c>
      <c r="C158" s="239" t="s">
        <v>887</v>
      </c>
      <c r="D158" s="53" t="s">
        <v>440</v>
      </c>
      <c r="E158" s="148" t="s">
        <v>441</v>
      </c>
      <c r="F158" s="53" t="s">
        <v>210</v>
      </c>
      <c r="G158" s="148" t="s">
        <v>457</v>
      </c>
      <c r="H158" s="53" t="s">
        <v>212</v>
      </c>
      <c r="I158" s="313">
        <v>38.417999999999999</v>
      </c>
      <c r="J158" s="340">
        <v>0</v>
      </c>
      <c r="K158" s="341">
        <v>38.417999999999999</v>
      </c>
      <c r="L158" s="53" t="s">
        <v>888</v>
      </c>
      <c r="M158" s="280">
        <v>2006</v>
      </c>
      <c r="N158" s="879">
        <v>38878</v>
      </c>
      <c r="O158" s="929" t="s">
        <v>884</v>
      </c>
      <c r="P158" s="250" t="s">
        <v>37</v>
      </c>
      <c r="Q158" s="53"/>
      <c r="R158" s="198" t="s">
        <v>89</v>
      </c>
      <c r="S158" s="198" t="s">
        <v>35</v>
      </c>
      <c r="T158" s="148" t="s">
        <v>35</v>
      </c>
      <c r="U158" s="148" t="s">
        <v>35</v>
      </c>
      <c r="V158" s="148" t="s">
        <v>35</v>
      </c>
      <c r="W158" s="204" t="s">
        <v>66</v>
      </c>
      <c r="X158" s="137" t="s">
        <v>176</v>
      </c>
      <c r="Y158" s="137">
        <v>4721</v>
      </c>
      <c r="Z158" s="53" t="s">
        <v>888</v>
      </c>
      <c r="AA158" s="166" t="s">
        <v>91</v>
      </c>
      <c r="AB158" s="166"/>
    </row>
    <row r="159" spans="1:28" ht="30" hidden="1" customHeight="1">
      <c r="A159" s="166">
        <f t="shared" si="2"/>
        <v>118</v>
      </c>
      <c r="B159" s="47" t="s">
        <v>889</v>
      </c>
      <c r="C159" s="239" t="s">
        <v>890</v>
      </c>
      <c r="D159" s="53" t="s">
        <v>440</v>
      </c>
      <c r="E159" s="148" t="s">
        <v>441</v>
      </c>
      <c r="F159" s="53" t="s">
        <v>210</v>
      </c>
      <c r="G159" s="148" t="s">
        <v>457</v>
      </c>
      <c r="H159" s="53" t="s">
        <v>212</v>
      </c>
      <c r="I159" s="313">
        <v>278.63600000000002</v>
      </c>
      <c r="J159" s="340">
        <v>0</v>
      </c>
      <c r="K159" s="341">
        <v>278.63600000000002</v>
      </c>
      <c r="L159" s="53" t="s">
        <v>891</v>
      </c>
      <c r="M159" s="280">
        <v>2007</v>
      </c>
      <c r="N159" s="879">
        <v>39345</v>
      </c>
      <c r="O159" s="929" t="s">
        <v>884</v>
      </c>
      <c r="P159" s="250" t="s">
        <v>37</v>
      </c>
      <c r="Q159" s="53"/>
      <c r="R159" s="198" t="s">
        <v>89</v>
      </c>
      <c r="S159" s="198" t="s">
        <v>35</v>
      </c>
      <c r="T159" s="148" t="s">
        <v>35</v>
      </c>
      <c r="U159" s="148" t="s">
        <v>35</v>
      </c>
      <c r="V159" s="148" t="s">
        <v>35</v>
      </c>
      <c r="W159" s="204" t="s">
        <v>66</v>
      </c>
      <c r="X159" s="137" t="s">
        <v>176</v>
      </c>
      <c r="Y159" s="137">
        <v>4719</v>
      </c>
      <c r="Z159" s="53" t="s">
        <v>891</v>
      </c>
      <c r="AA159" s="166" t="s">
        <v>91</v>
      </c>
      <c r="AB159" s="166"/>
    </row>
    <row r="160" spans="1:28" ht="30" hidden="1" customHeight="1">
      <c r="A160" s="166">
        <f t="shared" si="2"/>
        <v>119</v>
      </c>
      <c r="B160" s="45" t="s">
        <v>892</v>
      </c>
      <c r="C160" s="239" t="s">
        <v>893</v>
      </c>
      <c r="D160" s="53" t="s">
        <v>440</v>
      </c>
      <c r="E160" s="148" t="s">
        <v>441</v>
      </c>
      <c r="F160" s="53" t="s">
        <v>210</v>
      </c>
      <c r="G160" s="148" t="s">
        <v>457</v>
      </c>
      <c r="H160" s="53" t="s">
        <v>212</v>
      </c>
      <c r="I160" s="313">
        <v>62.875999999999998</v>
      </c>
      <c r="J160" s="340">
        <v>0</v>
      </c>
      <c r="K160" s="341">
        <v>62.875999999999998</v>
      </c>
      <c r="L160" s="53" t="s">
        <v>894</v>
      </c>
      <c r="M160" s="280">
        <v>2006</v>
      </c>
      <c r="N160" s="879">
        <v>38905</v>
      </c>
      <c r="O160" s="929" t="s">
        <v>884</v>
      </c>
      <c r="P160" s="250" t="s">
        <v>37</v>
      </c>
      <c r="Q160" s="53"/>
      <c r="R160" s="198" t="s">
        <v>89</v>
      </c>
      <c r="S160" s="198" t="s">
        <v>35</v>
      </c>
      <c r="T160" s="148" t="s">
        <v>35</v>
      </c>
      <c r="U160" s="148" t="s">
        <v>35</v>
      </c>
      <c r="V160" s="148" t="s">
        <v>35</v>
      </c>
      <c r="W160" s="204" t="s">
        <v>66</v>
      </c>
      <c r="X160" s="137" t="s">
        <v>176</v>
      </c>
      <c r="Y160" s="137">
        <v>4718</v>
      </c>
      <c r="Z160" s="53" t="s">
        <v>894</v>
      </c>
      <c r="AA160" s="166" t="s">
        <v>91</v>
      </c>
      <c r="AB160" s="166"/>
    </row>
    <row r="161" spans="1:28" ht="30" hidden="1" customHeight="1">
      <c r="A161" s="166">
        <f t="shared" si="2"/>
        <v>120</v>
      </c>
      <c r="B161" s="47" t="s">
        <v>895</v>
      </c>
      <c r="C161" s="148" t="s">
        <v>896</v>
      </c>
      <c r="D161" s="53" t="s">
        <v>440</v>
      </c>
      <c r="E161" s="148" t="s">
        <v>441</v>
      </c>
      <c r="F161" s="53" t="s">
        <v>155</v>
      </c>
      <c r="G161" s="148" t="s">
        <v>897</v>
      </c>
      <c r="H161" s="53" t="s">
        <v>197</v>
      </c>
      <c r="I161" s="930">
        <v>625.04999999999995</v>
      </c>
      <c r="J161" s="340">
        <v>0</v>
      </c>
      <c r="K161" s="341">
        <v>625.04999999999995</v>
      </c>
      <c r="L161" s="148" t="s">
        <v>898</v>
      </c>
      <c r="M161" s="280">
        <v>2006</v>
      </c>
      <c r="N161" s="879">
        <v>38905</v>
      </c>
      <c r="O161" s="929" t="s">
        <v>899</v>
      </c>
      <c r="P161" s="250" t="s">
        <v>37</v>
      </c>
      <c r="Q161" s="53"/>
      <c r="R161" s="190" t="s">
        <v>38</v>
      </c>
      <c r="S161" s="194" t="s">
        <v>39</v>
      </c>
      <c r="T161" s="200" t="s">
        <v>900</v>
      </c>
      <c r="U161" s="195">
        <v>2007</v>
      </c>
      <c r="V161" s="200" t="s">
        <v>77</v>
      </c>
      <c r="W161" s="66" t="s">
        <v>66</v>
      </c>
      <c r="X161" s="923" t="s">
        <v>493</v>
      </c>
      <c r="Y161" s="923">
        <v>4766</v>
      </c>
      <c r="Z161" s="148" t="s">
        <v>898</v>
      </c>
      <c r="AA161" s="900"/>
      <c r="AB161" s="900"/>
    </row>
    <row r="162" spans="1:28" ht="30" hidden="1" customHeight="1">
      <c r="A162" s="166">
        <f t="shared" si="2"/>
        <v>121</v>
      </c>
      <c r="B162" s="45" t="s">
        <v>901</v>
      </c>
      <c r="C162" s="53" t="s">
        <v>902</v>
      </c>
      <c r="D162" s="53" t="s">
        <v>440</v>
      </c>
      <c r="E162" s="148" t="s">
        <v>441</v>
      </c>
      <c r="F162" s="53" t="s">
        <v>172</v>
      </c>
      <c r="G162" s="148" t="s">
        <v>821</v>
      </c>
      <c r="H162" s="53" t="s">
        <v>174</v>
      </c>
      <c r="I162" s="313">
        <v>60.12</v>
      </c>
      <c r="J162" s="318">
        <v>60.12</v>
      </c>
      <c r="K162" s="341">
        <v>60.12</v>
      </c>
      <c r="L162" s="148" t="s">
        <v>903</v>
      </c>
      <c r="M162" s="280">
        <v>2006</v>
      </c>
      <c r="N162" s="879">
        <v>38902</v>
      </c>
      <c r="O162" s="929" t="s">
        <v>904</v>
      </c>
      <c r="P162" s="250" t="s">
        <v>37</v>
      </c>
      <c r="Q162" s="53"/>
      <c r="R162" s="198" t="s">
        <v>89</v>
      </c>
      <c r="S162" s="198" t="s">
        <v>35</v>
      </c>
      <c r="T162" s="148" t="s">
        <v>35</v>
      </c>
      <c r="U162" s="148" t="s">
        <v>35</v>
      </c>
      <c r="V162" s="148" t="s">
        <v>35</v>
      </c>
      <c r="W162" s="204" t="s">
        <v>66</v>
      </c>
      <c r="X162" s="27" t="s">
        <v>112</v>
      </c>
      <c r="Y162" s="27">
        <v>4710</v>
      </c>
      <c r="Z162" s="148" t="s">
        <v>903</v>
      </c>
      <c r="AA162" s="166" t="s">
        <v>91</v>
      </c>
      <c r="AB162" s="166"/>
    </row>
    <row r="163" spans="1:28" ht="30" hidden="1" customHeight="1">
      <c r="A163" s="166">
        <f t="shared" si="2"/>
        <v>122</v>
      </c>
      <c r="B163" s="47" t="s">
        <v>905</v>
      </c>
      <c r="C163" s="148" t="s">
        <v>906</v>
      </c>
      <c r="D163" s="53" t="s">
        <v>440</v>
      </c>
      <c r="E163" s="148" t="s">
        <v>441</v>
      </c>
      <c r="F163" s="53" t="s">
        <v>172</v>
      </c>
      <c r="G163" s="148" t="s">
        <v>821</v>
      </c>
      <c r="H163" s="53" t="s">
        <v>174</v>
      </c>
      <c r="I163" s="313">
        <v>26</v>
      </c>
      <c r="J163" s="931">
        <v>26</v>
      </c>
      <c r="K163" s="341">
        <v>26</v>
      </c>
      <c r="L163" s="148" t="s">
        <v>907</v>
      </c>
      <c r="M163" s="280">
        <v>2006</v>
      </c>
      <c r="N163" s="879">
        <v>38902</v>
      </c>
      <c r="O163" s="929" t="s">
        <v>908</v>
      </c>
      <c r="P163" s="250" t="s">
        <v>37</v>
      </c>
      <c r="Q163" s="53"/>
      <c r="R163" s="198" t="s">
        <v>89</v>
      </c>
      <c r="S163" s="198" t="s">
        <v>35</v>
      </c>
      <c r="T163" s="148" t="s">
        <v>35</v>
      </c>
      <c r="U163" s="148" t="s">
        <v>35</v>
      </c>
      <c r="V163" s="148" t="s">
        <v>35</v>
      </c>
      <c r="W163" s="204" t="s">
        <v>66</v>
      </c>
      <c r="X163" s="27" t="s">
        <v>112</v>
      </c>
      <c r="Y163" s="27">
        <v>4841</v>
      </c>
      <c r="Z163" s="148" t="s">
        <v>907</v>
      </c>
      <c r="AA163" s="166" t="s">
        <v>91</v>
      </c>
      <c r="AB163" s="166"/>
    </row>
    <row r="164" spans="1:28" ht="30" hidden="1" customHeight="1">
      <c r="A164" s="166">
        <f t="shared" si="2"/>
        <v>123</v>
      </c>
      <c r="B164" s="45" t="s">
        <v>909</v>
      </c>
      <c r="C164" s="53" t="s">
        <v>910</v>
      </c>
      <c r="D164" s="53" t="s">
        <v>440</v>
      </c>
      <c r="E164" s="148" t="s">
        <v>441</v>
      </c>
      <c r="F164" s="53" t="s">
        <v>172</v>
      </c>
      <c r="G164" s="148" t="s">
        <v>821</v>
      </c>
      <c r="H164" s="53" t="s">
        <v>174</v>
      </c>
      <c r="I164" s="313">
        <v>74</v>
      </c>
      <c r="J164" s="315">
        <v>74</v>
      </c>
      <c r="K164" s="341">
        <v>74</v>
      </c>
      <c r="L164" s="53" t="s">
        <v>911</v>
      </c>
      <c r="M164" s="280">
        <v>2006</v>
      </c>
      <c r="N164" s="879">
        <v>38937</v>
      </c>
      <c r="O164" s="929" t="s">
        <v>912</v>
      </c>
      <c r="P164" s="250" t="s">
        <v>37</v>
      </c>
      <c r="Q164" s="53"/>
      <c r="R164" s="198" t="s">
        <v>89</v>
      </c>
      <c r="S164" s="198" t="s">
        <v>35</v>
      </c>
      <c r="T164" s="148" t="s">
        <v>35</v>
      </c>
      <c r="U164" s="148" t="s">
        <v>35</v>
      </c>
      <c r="V164" s="148" t="s">
        <v>35</v>
      </c>
      <c r="W164" s="204" t="s">
        <v>66</v>
      </c>
      <c r="X164" s="27" t="s">
        <v>112</v>
      </c>
      <c r="Y164" s="27">
        <v>4786</v>
      </c>
      <c r="Z164" s="53" t="s">
        <v>911</v>
      </c>
      <c r="AA164" s="166" t="s">
        <v>91</v>
      </c>
      <c r="AB164" s="166"/>
    </row>
    <row r="165" spans="1:28" ht="30" hidden="1" customHeight="1">
      <c r="A165" s="166">
        <f t="shared" si="2"/>
        <v>124</v>
      </c>
      <c r="B165" s="47" t="s">
        <v>913</v>
      </c>
      <c r="C165" s="53" t="s">
        <v>914</v>
      </c>
      <c r="D165" s="53" t="s">
        <v>440</v>
      </c>
      <c r="E165" s="148" t="s">
        <v>441</v>
      </c>
      <c r="F165" s="53" t="s">
        <v>210</v>
      </c>
      <c r="G165" s="148" t="s">
        <v>457</v>
      </c>
      <c r="H165" s="53" t="s">
        <v>212</v>
      </c>
      <c r="I165" s="313">
        <v>35.238</v>
      </c>
      <c r="J165" s="315">
        <v>35.238</v>
      </c>
      <c r="K165" s="341">
        <v>35.238</v>
      </c>
      <c r="L165" s="53" t="s">
        <v>915</v>
      </c>
      <c r="M165" s="280">
        <v>2006</v>
      </c>
      <c r="N165" s="879">
        <v>38915</v>
      </c>
      <c r="O165" s="929" t="s">
        <v>884</v>
      </c>
      <c r="P165" s="250" t="s">
        <v>37</v>
      </c>
      <c r="Q165" s="53"/>
      <c r="R165" s="198" t="s">
        <v>89</v>
      </c>
      <c r="S165" s="198" t="s">
        <v>35</v>
      </c>
      <c r="T165" s="148" t="s">
        <v>35</v>
      </c>
      <c r="U165" s="148" t="s">
        <v>35</v>
      </c>
      <c r="V165" s="148" t="s">
        <v>35</v>
      </c>
      <c r="W165" s="204" t="s">
        <v>66</v>
      </c>
      <c r="X165" s="27" t="s">
        <v>112</v>
      </c>
      <c r="Y165" s="27">
        <v>4409</v>
      </c>
      <c r="Z165" s="53" t="s">
        <v>915</v>
      </c>
      <c r="AA165" s="166" t="s">
        <v>91</v>
      </c>
      <c r="AB165" s="166"/>
    </row>
    <row r="166" spans="1:28" ht="38.25" hidden="1" customHeight="1">
      <c r="A166" s="166">
        <f t="shared" si="2"/>
        <v>125</v>
      </c>
      <c r="B166" s="45" t="s">
        <v>916</v>
      </c>
      <c r="C166" s="46" t="s">
        <v>2702</v>
      </c>
      <c r="D166" s="148" t="s">
        <v>496</v>
      </c>
      <c r="E166" s="239" t="s">
        <v>497</v>
      </c>
      <c r="F166" s="53" t="s">
        <v>164</v>
      </c>
      <c r="G166" s="239" t="s">
        <v>918</v>
      </c>
      <c r="H166" s="53" t="s">
        <v>348</v>
      </c>
      <c r="I166" s="313">
        <v>285</v>
      </c>
      <c r="J166" s="315">
        <v>285</v>
      </c>
      <c r="K166" s="341">
        <v>285</v>
      </c>
      <c r="L166" s="53" t="s">
        <v>2701</v>
      </c>
      <c r="M166" s="280">
        <v>2006</v>
      </c>
      <c r="N166" s="887">
        <v>38936</v>
      </c>
      <c r="O166" s="239" t="s">
        <v>920</v>
      </c>
      <c r="P166" s="250" t="s">
        <v>37</v>
      </c>
      <c r="Q166" s="53"/>
      <c r="R166" s="190" t="s">
        <v>38</v>
      </c>
      <c r="S166" s="201" t="s">
        <v>100</v>
      </c>
      <c r="T166" s="170" t="s">
        <v>921</v>
      </c>
      <c r="U166" s="195">
        <v>2015</v>
      </c>
      <c r="V166" s="200" t="s">
        <v>817</v>
      </c>
      <c r="W166" s="66" t="s">
        <v>66</v>
      </c>
      <c r="X166" s="27" t="s">
        <v>112</v>
      </c>
      <c r="Y166" s="27">
        <v>4623</v>
      </c>
      <c r="Z166" s="53" t="s">
        <v>919</v>
      </c>
      <c r="AA166" s="900"/>
      <c r="AB166" s="900"/>
    </row>
    <row r="167" spans="1:28" ht="30" hidden="1" customHeight="1">
      <c r="A167" s="166">
        <f t="shared" si="2"/>
        <v>126</v>
      </c>
      <c r="B167" s="47" t="s">
        <v>922</v>
      </c>
      <c r="C167" s="46" t="s">
        <v>923</v>
      </c>
      <c r="D167" s="148" t="s">
        <v>496</v>
      </c>
      <c r="E167" s="239" t="s">
        <v>497</v>
      </c>
      <c r="F167" s="53" t="s">
        <v>164</v>
      </c>
      <c r="G167" s="239" t="s">
        <v>348</v>
      </c>
      <c r="H167" s="53" t="s">
        <v>348</v>
      </c>
      <c r="I167" s="313">
        <v>860</v>
      </c>
      <c r="J167" s="315">
        <v>860</v>
      </c>
      <c r="K167" s="341">
        <v>860</v>
      </c>
      <c r="L167" s="53" t="s">
        <v>924</v>
      </c>
      <c r="M167" s="280">
        <v>2006</v>
      </c>
      <c r="N167" s="887">
        <v>38938</v>
      </c>
      <c r="O167" s="239" t="s">
        <v>925</v>
      </c>
      <c r="P167" s="250" t="s">
        <v>37</v>
      </c>
      <c r="Q167" s="53"/>
      <c r="R167" s="190" t="s">
        <v>38</v>
      </c>
      <c r="S167" s="201" t="s">
        <v>100</v>
      </c>
      <c r="T167" s="46" t="s">
        <v>926</v>
      </c>
      <c r="U167" s="202">
        <v>2014</v>
      </c>
      <c r="V167" s="202" t="s">
        <v>927</v>
      </c>
      <c r="W167" s="54" t="s">
        <v>66</v>
      </c>
      <c r="X167" s="27" t="s">
        <v>112</v>
      </c>
      <c r="Y167" s="27">
        <v>4626</v>
      </c>
      <c r="Z167" s="53" t="s">
        <v>924</v>
      </c>
      <c r="AA167" s="900"/>
      <c r="AB167" s="900"/>
    </row>
    <row r="168" spans="1:28" ht="30" hidden="1" customHeight="1">
      <c r="A168" s="166">
        <f t="shared" si="2"/>
        <v>127</v>
      </c>
      <c r="B168" s="45" t="s">
        <v>928</v>
      </c>
      <c r="C168" s="53" t="s">
        <v>929</v>
      </c>
      <c r="D168" s="53" t="s">
        <v>440</v>
      </c>
      <c r="E168" s="148" t="s">
        <v>441</v>
      </c>
      <c r="F168" s="53" t="s">
        <v>210</v>
      </c>
      <c r="G168" s="148" t="s">
        <v>457</v>
      </c>
      <c r="H168" s="53" t="s">
        <v>212</v>
      </c>
      <c r="I168" s="313">
        <v>1318</v>
      </c>
      <c r="J168" s="340">
        <v>0</v>
      </c>
      <c r="K168" s="341">
        <v>1318</v>
      </c>
      <c r="L168" s="53" t="s">
        <v>930</v>
      </c>
      <c r="M168" s="280">
        <v>2006</v>
      </c>
      <c r="N168" s="932">
        <v>39003</v>
      </c>
      <c r="O168" s="929" t="s">
        <v>931</v>
      </c>
      <c r="P168" s="250" t="s">
        <v>37</v>
      </c>
      <c r="Q168" s="239"/>
      <c r="R168" s="198" t="s">
        <v>89</v>
      </c>
      <c r="S168" s="198" t="s">
        <v>35</v>
      </c>
      <c r="T168" s="148" t="s">
        <v>35</v>
      </c>
      <c r="U168" s="148" t="s">
        <v>35</v>
      </c>
      <c r="V168" s="148" t="s">
        <v>35</v>
      </c>
      <c r="W168" s="204" t="s">
        <v>66</v>
      </c>
      <c r="X168" s="137" t="s">
        <v>176</v>
      </c>
      <c r="Y168" s="137">
        <v>4032</v>
      </c>
      <c r="Z168" s="53" t="s">
        <v>930</v>
      </c>
      <c r="AA168" s="166" t="s">
        <v>91</v>
      </c>
      <c r="AB168" s="166"/>
    </row>
    <row r="169" spans="1:28" ht="30" hidden="1" customHeight="1">
      <c r="A169" s="166">
        <f t="shared" si="2"/>
        <v>128</v>
      </c>
      <c r="B169" s="47" t="s">
        <v>932</v>
      </c>
      <c r="C169" s="202" t="s">
        <v>933</v>
      </c>
      <c r="D169" s="53" t="s">
        <v>440</v>
      </c>
      <c r="E169" s="53" t="s">
        <v>441</v>
      </c>
      <c r="F169" s="53" t="s">
        <v>32</v>
      </c>
      <c r="G169" s="53" t="s">
        <v>767</v>
      </c>
      <c r="H169" s="53" t="s">
        <v>32</v>
      </c>
      <c r="I169" s="313">
        <v>148</v>
      </c>
      <c r="J169" s="340">
        <v>0</v>
      </c>
      <c r="K169" s="341">
        <v>148</v>
      </c>
      <c r="L169" s="148" t="s">
        <v>934</v>
      </c>
      <c r="M169" s="280">
        <v>2006</v>
      </c>
      <c r="N169" s="879">
        <v>38995</v>
      </c>
      <c r="O169" s="929" t="s">
        <v>935</v>
      </c>
      <c r="P169" s="250" t="s">
        <v>37</v>
      </c>
      <c r="Q169" s="53"/>
      <c r="R169" s="190" t="s">
        <v>38</v>
      </c>
      <c r="S169" s="194" t="s">
        <v>39</v>
      </c>
      <c r="T169" s="200" t="s">
        <v>936</v>
      </c>
      <c r="U169" s="195">
        <v>2011</v>
      </c>
      <c r="V169" s="924" t="s">
        <v>145</v>
      </c>
      <c r="W169" s="66" t="s">
        <v>66</v>
      </c>
      <c r="X169" s="923" t="s">
        <v>937</v>
      </c>
      <c r="Y169" s="923">
        <v>4925</v>
      </c>
      <c r="Z169" s="148" t="s">
        <v>934</v>
      </c>
      <c r="AA169" s="900"/>
      <c r="AB169" s="900"/>
    </row>
    <row r="170" spans="1:28" ht="30" hidden="1" customHeight="1">
      <c r="A170" s="166">
        <f t="shared" si="2"/>
        <v>129</v>
      </c>
      <c r="B170" s="45" t="s">
        <v>938</v>
      </c>
      <c r="C170" s="53" t="s">
        <v>939</v>
      </c>
      <c r="D170" s="53" t="s">
        <v>440</v>
      </c>
      <c r="E170" s="148" t="s">
        <v>441</v>
      </c>
      <c r="F170" s="53" t="s">
        <v>32</v>
      </c>
      <c r="G170" s="148" t="s">
        <v>940</v>
      </c>
      <c r="H170" s="53" t="s">
        <v>32</v>
      </c>
      <c r="I170" s="313">
        <v>79.099999999999994</v>
      </c>
      <c r="J170" s="315">
        <v>79.099999999999994</v>
      </c>
      <c r="K170" s="341">
        <v>79.099999999999994</v>
      </c>
      <c r="L170" s="53" t="s">
        <v>941</v>
      </c>
      <c r="M170" s="280">
        <v>2006</v>
      </c>
      <c r="N170" s="879">
        <v>38993</v>
      </c>
      <c r="O170" s="929" t="s">
        <v>942</v>
      </c>
      <c r="P170" s="250" t="s">
        <v>37</v>
      </c>
      <c r="Q170" s="53"/>
      <c r="R170" s="190" t="s">
        <v>38</v>
      </c>
      <c r="S170" s="194" t="s">
        <v>39</v>
      </c>
      <c r="T170" s="200" t="s">
        <v>943</v>
      </c>
      <c r="U170" s="195">
        <v>2010</v>
      </c>
      <c r="V170" s="924" t="s">
        <v>513</v>
      </c>
      <c r="W170" s="66" t="s">
        <v>66</v>
      </c>
      <c r="X170" s="27" t="s">
        <v>112</v>
      </c>
      <c r="Y170" s="27">
        <v>4895</v>
      </c>
      <c r="Z170" s="53" t="s">
        <v>941</v>
      </c>
      <c r="AA170" s="900"/>
      <c r="AB170" s="900"/>
    </row>
    <row r="171" spans="1:28" ht="30" hidden="1" customHeight="1">
      <c r="A171" s="166">
        <f t="shared" si="2"/>
        <v>130</v>
      </c>
      <c r="B171" s="47" t="s">
        <v>944</v>
      </c>
      <c r="C171" s="53" t="s">
        <v>945</v>
      </c>
      <c r="D171" s="53" t="s">
        <v>440</v>
      </c>
      <c r="E171" s="53" t="s">
        <v>441</v>
      </c>
      <c r="F171" s="53" t="s">
        <v>32</v>
      </c>
      <c r="G171" s="53" t="s">
        <v>767</v>
      </c>
      <c r="H171" s="53" t="s">
        <v>32</v>
      </c>
      <c r="I171" s="313">
        <v>455</v>
      </c>
      <c r="J171" s="340">
        <v>0</v>
      </c>
      <c r="K171" s="341">
        <v>455</v>
      </c>
      <c r="L171" s="148" t="s">
        <v>946</v>
      </c>
      <c r="M171" s="280">
        <v>2006</v>
      </c>
      <c r="N171" s="879">
        <v>39003</v>
      </c>
      <c r="O171" s="929" t="s">
        <v>947</v>
      </c>
      <c r="P171" s="250" t="s">
        <v>37</v>
      </c>
      <c r="Q171" s="53"/>
      <c r="R171" s="190" t="s">
        <v>38</v>
      </c>
      <c r="S171" s="194" t="s">
        <v>39</v>
      </c>
      <c r="T171" s="200" t="s">
        <v>948</v>
      </c>
      <c r="U171" s="195">
        <v>2010</v>
      </c>
      <c r="V171" s="924" t="s">
        <v>513</v>
      </c>
      <c r="W171" s="66" t="s">
        <v>66</v>
      </c>
      <c r="X171" s="923" t="s">
        <v>937</v>
      </c>
      <c r="Y171" s="923">
        <v>4899</v>
      </c>
      <c r="Z171" s="148" t="s">
        <v>946</v>
      </c>
      <c r="AA171" s="900"/>
      <c r="AB171" s="900"/>
    </row>
    <row r="172" spans="1:28" ht="30" hidden="1" customHeight="1">
      <c r="A172" s="166">
        <f t="shared" si="2"/>
        <v>131</v>
      </c>
      <c r="B172" s="45" t="s">
        <v>949</v>
      </c>
      <c r="C172" s="53" t="s">
        <v>950</v>
      </c>
      <c r="D172" s="53" t="s">
        <v>440</v>
      </c>
      <c r="E172" s="148" t="s">
        <v>441</v>
      </c>
      <c r="F172" s="53" t="s">
        <v>32</v>
      </c>
      <c r="G172" s="148" t="s">
        <v>59</v>
      </c>
      <c r="H172" s="53" t="s">
        <v>32</v>
      </c>
      <c r="I172" s="313">
        <v>167</v>
      </c>
      <c r="J172" s="315">
        <v>167</v>
      </c>
      <c r="K172" s="341">
        <v>167</v>
      </c>
      <c r="L172" s="53" t="s">
        <v>951</v>
      </c>
      <c r="M172" s="280">
        <v>2006</v>
      </c>
      <c r="N172" s="879">
        <v>38993</v>
      </c>
      <c r="O172" s="929" t="s">
        <v>952</v>
      </c>
      <c r="P172" s="250" t="s">
        <v>37</v>
      </c>
      <c r="Q172" s="53"/>
      <c r="R172" s="190" t="s">
        <v>38</v>
      </c>
      <c r="S172" s="194" t="s">
        <v>39</v>
      </c>
      <c r="T172" s="200" t="s">
        <v>953</v>
      </c>
      <c r="U172" s="195">
        <v>2010</v>
      </c>
      <c r="V172" s="924" t="s">
        <v>513</v>
      </c>
      <c r="W172" s="66" t="s">
        <v>66</v>
      </c>
      <c r="X172" s="27" t="s">
        <v>112</v>
      </c>
      <c r="Y172" s="27">
        <v>4894</v>
      </c>
      <c r="Z172" s="53" t="s">
        <v>951</v>
      </c>
      <c r="AA172" s="900"/>
      <c r="AB172" s="900"/>
    </row>
    <row r="173" spans="1:28" ht="30" hidden="1" customHeight="1">
      <c r="A173" s="166">
        <f t="shared" si="2"/>
        <v>132</v>
      </c>
      <c r="B173" s="47" t="s">
        <v>954</v>
      </c>
      <c r="C173" s="53" t="s">
        <v>955</v>
      </c>
      <c r="D173" s="148" t="s">
        <v>496</v>
      </c>
      <c r="E173" s="239" t="s">
        <v>497</v>
      </c>
      <c r="F173" s="53" t="s">
        <v>172</v>
      </c>
      <c r="G173" s="239" t="s">
        <v>860</v>
      </c>
      <c r="H173" s="53" t="s">
        <v>174</v>
      </c>
      <c r="I173" s="313">
        <v>38</v>
      </c>
      <c r="J173" s="318">
        <v>38</v>
      </c>
      <c r="K173" s="341">
        <v>38</v>
      </c>
      <c r="L173" s="148" t="s">
        <v>956</v>
      </c>
      <c r="M173" s="280">
        <v>2006</v>
      </c>
      <c r="N173" s="887">
        <v>38880</v>
      </c>
      <c r="O173" s="239" t="s">
        <v>957</v>
      </c>
      <c r="P173" s="250" t="s">
        <v>37</v>
      </c>
      <c r="Q173" s="53"/>
      <c r="R173" s="198" t="s">
        <v>89</v>
      </c>
      <c r="S173" s="198" t="s">
        <v>35</v>
      </c>
      <c r="T173" s="148" t="s">
        <v>35</v>
      </c>
      <c r="U173" s="148" t="s">
        <v>35</v>
      </c>
      <c r="V173" s="148" t="s">
        <v>35</v>
      </c>
      <c r="W173" s="204" t="s">
        <v>66</v>
      </c>
      <c r="X173" s="27" t="s">
        <v>112</v>
      </c>
      <c r="Y173" s="27">
        <v>4237</v>
      </c>
      <c r="Z173" s="148" t="s">
        <v>956</v>
      </c>
      <c r="AA173" s="166" t="s">
        <v>91</v>
      </c>
      <c r="AB173" s="166"/>
    </row>
    <row r="174" spans="1:28" ht="30" hidden="1" customHeight="1">
      <c r="A174" s="166">
        <f t="shared" si="2"/>
        <v>133</v>
      </c>
      <c r="B174" s="45" t="s">
        <v>958</v>
      </c>
      <c r="C174" s="53" t="s">
        <v>959</v>
      </c>
      <c r="D174" s="53" t="s">
        <v>440</v>
      </c>
      <c r="E174" s="148" t="s">
        <v>441</v>
      </c>
      <c r="F174" s="53" t="s">
        <v>180</v>
      </c>
      <c r="G174" s="148" t="s">
        <v>603</v>
      </c>
      <c r="H174" s="53" t="s">
        <v>394</v>
      </c>
      <c r="I174" s="313">
        <v>13.97</v>
      </c>
      <c r="J174" s="318">
        <v>13.97</v>
      </c>
      <c r="K174" s="341">
        <v>13.97</v>
      </c>
      <c r="L174" s="148" t="s">
        <v>960</v>
      </c>
      <c r="M174" s="280">
        <v>2006</v>
      </c>
      <c r="N174" s="879">
        <v>39014</v>
      </c>
      <c r="O174" s="929" t="s">
        <v>961</v>
      </c>
      <c r="P174" s="250" t="s">
        <v>37</v>
      </c>
      <c r="Q174" s="53"/>
      <c r="R174" s="198" t="s">
        <v>89</v>
      </c>
      <c r="S174" s="198" t="s">
        <v>35</v>
      </c>
      <c r="T174" s="148" t="s">
        <v>35</v>
      </c>
      <c r="U174" s="148" t="s">
        <v>35</v>
      </c>
      <c r="V174" s="148" t="s">
        <v>35</v>
      </c>
      <c r="W174" s="204" t="s">
        <v>66</v>
      </c>
      <c r="X174" s="27" t="s">
        <v>112</v>
      </c>
      <c r="Y174" s="27">
        <v>4788</v>
      </c>
      <c r="Z174" s="148" t="s">
        <v>960</v>
      </c>
      <c r="AA174" s="166" t="s">
        <v>91</v>
      </c>
      <c r="AB174" s="166"/>
    </row>
    <row r="175" spans="1:28" ht="30" hidden="1" customHeight="1">
      <c r="A175" s="166">
        <f t="shared" si="2"/>
        <v>134</v>
      </c>
      <c r="B175" s="47" t="s">
        <v>962</v>
      </c>
      <c r="C175" s="148" t="s">
        <v>963</v>
      </c>
      <c r="D175" s="53" t="s">
        <v>440</v>
      </c>
      <c r="E175" s="148" t="s">
        <v>441</v>
      </c>
      <c r="F175" s="148" t="s">
        <v>172</v>
      </c>
      <c r="G175" s="148" t="s">
        <v>173</v>
      </c>
      <c r="H175" s="148" t="s">
        <v>174</v>
      </c>
      <c r="I175" s="905">
        <v>849.375</v>
      </c>
      <c r="J175" s="340">
        <v>0</v>
      </c>
      <c r="K175" s="819">
        <v>849.375</v>
      </c>
      <c r="L175" s="148" t="s">
        <v>964</v>
      </c>
      <c r="M175" s="280">
        <v>2006</v>
      </c>
      <c r="N175" s="932">
        <v>39027</v>
      </c>
      <c r="O175" s="206" t="s">
        <v>931</v>
      </c>
      <c r="P175" s="27" t="s">
        <v>37</v>
      </c>
      <c r="Q175" s="239"/>
      <c r="R175" s="198" t="s">
        <v>89</v>
      </c>
      <c r="S175" s="198" t="s">
        <v>35</v>
      </c>
      <c r="T175" s="148" t="s">
        <v>35</v>
      </c>
      <c r="U175" s="148" t="s">
        <v>35</v>
      </c>
      <c r="V175" s="148" t="s">
        <v>35</v>
      </c>
      <c r="W175" s="204" t="s">
        <v>66</v>
      </c>
      <c r="X175" s="250" t="s">
        <v>965</v>
      </c>
      <c r="Y175" s="250">
        <v>4317</v>
      </c>
      <c r="Z175" s="148" t="s">
        <v>964</v>
      </c>
      <c r="AA175" s="166" t="s">
        <v>91</v>
      </c>
      <c r="AB175" s="166"/>
    </row>
    <row r="176" spans="1:28" ht="37.5" hidden="1" customHeight="1">
      <c r="A176" s="166">
        <f t="shared" si="2"/>
        <v>135</v>
      </c>
      <c r="B176" s="45" t="s">
        <v>966</v>
      </c>
      <c r="C176" s="148" t="s">
        <v>967</v>
      </c>
      <c r="D176" s="53" t="s">
        <v>440</v>
      </c>
      <c r="E176" s="148" t="s">
        <v>441</v>
      </c>
      <c r="F176" s="148" t="s">
        <v>210</v>
      </c>
      <c r="G176" s="148" t="s">
        <v>211</v>
      </c>
      <c r="H176" s="148" t="s">
        <v>212</v>
      </c>
      <c r="I176" s="905">
        <v>474.28</v>
      </c>
      <c r="J176" s="340">
        <v>0</v>
      </c>
      <c r="K176" s="819">
        <v>474.28</v>
      </c>
      <c r="L176" s="148" t="s">
        <v>968</v>
      </c>
      <c r="M176" s="280">
        <v>2006</v>
      </c>
      <c r="N176" s="879">
        <v>39023</v>
      </c>
      <c r="O176" s="206" t="s">
        <v>969</v>
      </c>
      <c r="P176" s="27" t="s">
        <v>37</v>
      </c>
      <c r="Q176" s="53"/>
      <c r="R176" s="198" t="s">
        <v>89</v>
      </c>
      <c r="S176" s="198" t="s">
        <v>35</v>
      </c>
      <c r="T176" s="148" t="s">
        <v>35</v>
      </c>
      <c r="U176" s="148" t="s">
        <v>35</v>
      </c>
      <c r="V176" s="148" t="s">
        <v>35</v>
      </c>
      <c r="W176" s="204" t="s">
        <v>66</v>
      </c>
      <c r="X176" s="923" t="s">
        <v>970</v>
      </c>
      <c r="Y176" s="923">
        <v>4682</v>
      </c>
      <c r="Z176" s="148" t="s">
        <v>968</v>
      </c>
      <c r="AA176" s="166" t="s">
        <v>91</v>
      </c>
      <c r="AB176" s="166"/>
    </row>
    <row r="177" spans="1:28" ht="30" hidden="1" customHeight="1">
      <c r="A177" s="166">
        <f t="shared" si="2"/>
        <v>136</v>
      </c>
      <c r="B177" s="47" t="s">
        <v>971</v>
      </c>
      <c r="C177" s="148" t="s">
        <v>972</v>
      </c>
      <c r="D177" s="53" t="s">
        <v>440</v>
      </c>
      <c r="E177" s="148" t="s">
        <v>441</v>
      </c>
      <c r="F177" s="148" t="s">
        <v>210</v>
      </c>
      <c r="G177" s="148" t="s">
        <v>973</v>
      </c>
      <c r="H177" s="148" t="s">
        <v>212</v>
      </c>
      <c r="I177" s="905">
        <v>919.56700000000001</v>
      </c>
      <c r="J177" s="340">
        <v>0</v>
      </c>
      <c r="K177" s="819">
        <v>919.56700000000001</v>
      </c>
      <c r="L177" s="148" t="s">
        <v>974</v>
      </c>
      <c r="M177" s="280">
        <v>2006</v>
      </c>
      <c r="N177" s="932">
        <v>39027</v>
      </c>
      <c r="O177" s="206" t="s">
        <v>931</v>
      </c>
      <c r="P177" s="27" t="s">
        <v>37</v>
      </c>
      <c r="Q177" s="239"/>
      <c r="R177" s="198" t="s">
        <v>89</v>
      </c>
      <c r="S177" s="198" t="s">
        <v>35</v>
      </c>
      <c r="T177" s="148" t="s">
        <v>35</v>
      </c>
      <c r="U177" s="148" t="s">
        <v>35</v>
      </c>
      <c r="V177" s="148" t="s">
        <v>35</v>
      </c>
      <c r="W177" s="204" t="s">
        <v>66</v>
      </c>
      <c r="X177" s="250" t="s">
        <v>965</v>
      </c>
      <c r="Y177" s="250">
        <v>4322</v>
      </c>
      <c r="Z177" s="148" t="s">
        <v>974</v>
      </c>
      <c r="AA177" s="166" t="s">
        <v>91</v>
      </c>
      <c r="AB177" s="166"/>
    </row>
    <row r="178" spans="1:28" ht="30" hidden="1" customHeight="1">
      <c r="A178" s="166">
        <f t="shared" si="2"/>
        <v>137</v>
      </c>
      <c r="B178" s="45" t="s">
        <v>975</v>
      </c>
      <c r="C178" s="148" t="s">
        <v>976</v>
      </c>
      <c r="D178" s="53" t="s">
        <v>440</v>
      </c>
      <c r="E178" s="148" t="s">
        <v>441</v>
      </c>
      <c r="F178" s="148" t="s">
        <v>172</v>
      </c>
      <c r="G178" s="148" t="s">
        <v>173</v>
      </c>
      <c r="H178" s="148" t="s">
        <v>174</v>
      </c>
      <c r="I178" s="905">
        <v>896.58500000000004</v>
      </c>
      <c r="J178" s="340">
        <v>0</v>
      </c>
      <c r="K178" s="819">
        <v>896.58500000000004</v>
      </c>
      <c r="L178" s="148" t="s">
        <v>977</v>
      </c>
      <c r="M178" s="280">
        <v>2006</v>
      </c>
      <c r="N178" s="932">
        <v>39027</v>
      </c>
      <c r="O178" s="206" t="s">
        <v>931</v>
      </c>
      <c r="P178" s="27" t="s">
        <v>37</v>
      </c>
      <c r="Q178" s="239"/>
      <c r="R178" s="198" t="s">
        <v>89</v>
      </c>
      <c r="S178" s="198" t="s">
        <v>35</v>
      </c>
      <c r="T178" s="148" t="s">
        <v>35</v>
      </c>
      <c r="U178" s="148" t="s">
        <v>35</v>
      </c>
      <c r="V178" s="148" t="s">
        <v>35</v>
      </c>
      <c r="W178" s="204" t="s">
        <v>66</v>
      </c>
      <c r="X178" s="250" t="s">
        <v>965</v>
      </c>
      <c r="Y178" s="250">
        <v>4319</v>
      </c>
      <c r="Z178" s="148" t="s">
        <v>977</v>
      </c>
      <c r="AA178" s="166" t="s">
        <v>91</v>
      </c>
      <c r="AB178" s="166"/>
    </row>
    <row r="179" spans="1:28" ht="30" hidden="1" customHeight="1">
      <c r="A179" s="166">
        <f t="shared" si="2"/>
        <v>138</v>
      </c>
      <c r="B179" s="47" t="s">
        <v>978</v>
      </c>
      <c r="C179" s="148" t="s">
        <v>801</v>
      </c>
      <c r="D179" s="53" t="s">
        <v>440</v>
      </c>
      <c r="E179" s="148" t="s">
        <v>441</v>
      </c>
      <c r="F179" s="148" t="s">
        <v>172</v>
      </c>
      <c r="G179" s="148" t="s">
        <v>173</v>
      </c>
      <c r="H179" s="148" t="s">
        <v>174</v>
      </c>
      <c r="I179" s="905">
        <v>764.42600000000004</v>
      </c>
      <c r="J179" s="340">
        <v>0</v>
      </c>
      <c r="K179" s="819">
        <v>764.42600000000004</v>
      </c>
      <c r="L179" s="148" t="s">
        <v>979</v>
      </c>
      <c r="M179" s="280">
        <v>2006</v>
      </c>
      <c r="N179" s="932">
        <v>39027</v>
      </c>
      <c r="O179" s="206" t="s">
        <v>931</v>
      </c>
      <c r="P179" s="27" t="s">
        <v>37</v>
      </c>
      <c r="Q179" s="239"/>
      <c r="R179" s="198" t="s">
        <v>89</v>
      </c>
      <c r="S179" s="198" t="s">
        <v>35</v>
      </c>
      <c r="T179" s="148" t="s">
        <v>35</v>
      </c>
      <c r="U179" s="148" t="s">
        <v>35</v>
      </c>
      <c r="V179" s="148" t="s">
        <v>35</v>
      </c>
      <c r="W179" s="204" t="s">
        <v>66</v>
      </c>
      <c r="X179" s="250" t="s">
        <v>965</v>
      </c>
      <c r="Y179" s="250">
        <v>4316</v>
      </c>
      <c r="Z179" s="148" t="s">
        <v>979</v>
      </c>
      <c r="AA179" s="166" t="s">
        <v>91</v>
      </c>
      <c r="AB179" s="166"/>
    </row>
    <row r="180" spans="1:28" ht="30" hidden="1" customHeight="1">
      <c r="A180" s="166">
        <f t="shared" si="2"/>
        <v>139</v>
      </c>
      <c r="B180" s="45" t="s">
        <v>980</v>
      </c>
      <c r="C180" s="148" t="s">
        <v>981</v>
      </c>
      <c r="D180" s="53" t="s">
        <v>440</v>
      </c>
      <c r="E180" s="148" t="s">
        <v>441</v>
      </c>
      <c r="F180" s="148" t="s">
        <v>172</v>
      </c>
      <c r="G180" s="148" t="s">
        <v>797</v>
      </c>
      <c r="H180" s="148" t="s">
        <v>235</v>
      </c>
      <c r="I180" s="905">
        <v>730</v>
      </c>
      <c r="J180" s="340">
        <v>0</v>
      </c>
      <c r="K180" s="819">
        <v>730</v>
      </c>
      <c r="L180" s="148" t="s">
        <v>982</v>
      </c>
      <c r="M180" s="280">
        <v>2006</v>
      </c>
      <c r="N180" s="932">
        <v>39027</v>
      </c>
      <c r="O180" s="206" t="s">
        <v>931</v>
      </c>
      <c r="P180" s="27" t="s">
        <v>37</v>
      </c>
      <c r="Q180" s="239"/>
      <c r="R180" s="198" t="s">
        <v>89</v>
      </c>
      <c r="S180" s="198" t="s">
        <v>35</v>
      </c>
      <c r="T180" s="148" t="s">
        <v>35</v>
      </c>
      <c r="U180" s="148" t="s">
        <v>35</v>
      </c>
      <c r="V180" s="148" t="s">
        <v>35</v>
      </c>
      <c r="W180" s="204" t="s">
        <v>66</v>
      </c>
      <c r="X180" s="250" t="s">
        <v>965</v>
      </c>
      <c r="Y180" s="250">
        <v>4030</v>
      </c>
      <c r="Z180" s="148" t="s">
        <v>982</v>
      </c>
      <c r="AA180" s="166" t="s">
        <v>91</v>
      </c>
      <c r="AB180" s="166"/>
    </row>
    <row r="181" spans="1:28" ht="30" hidden="1" customHeight="1">
      <c r="A181" s="166">
        <f t="shared" si="2"/>
        <v>140</v>
      </c>
      <c r="B181" s="47" t="s">
        <v>983</v>
      </c>
      <c r="C181" s="148" t="s">
        <v>984</v>
      </c>
      <c r="D181" s="53" t="s">
        <v>440</v>
      </c>
      <c r="E181" s="148" t="s">
        <v>441</v>
      </c>
      <c r="F181" s="148" t="s">
        <v>180</v>
      </c>
      <c r="G181" s="148" t="s">
        <v>683</v>
      </c>
      <c r="H181" s="148" t="s">
        <v>394</v>
      </c>
      <c r="I181" s="905">
        <v>2475</v>
      </c>
      <c r="J181" s="340">
        <v>0</v>
      </c>
      <c r="K181" s="819">
        <v>2475</v>
      </c>
      <c r="L181" s="148" t="s">
        <v>985</v>
      </c>
      <c r="M181" s="280">
        <v>2006</v>
      </c>
      <c r="N181" s="932">
        <v>39027</v>
      </c>
      <c r="O181" s="206" t="s">
        <v>931</v>
      </c>
      <c r="P181" s="27" t="s">
        <v>37</v>
      </c>
      <c r="Q181" s="239"/>
      <c r="R181" s="198" t="s">
        <v>89</v>
      </c>
      <c r="S181" s="198" t="s">
        <v>35</v>
      </c>
      <c r="T181" s="148" t="s">
        <v>35</v>
      </c>
      <c r="U181" s="148" t="s">
        <v>35</v>
      </c>
      <c r="V181" s="148" t="s">
        <v>35</v>
      </c>
      <c r="W181" s="204" t="s">
        <v>66</v>
      </c>
      <c r="X181" s="250" t="s">
        <v>965</v>
      </c>
      <c r="Y181" s="250">
        <v>4035</v>
      </c>
      <c r="Z181" s="148" t="s">
        <v>985</v>
      </c>
      <c r="AA181" s="166" t="s">
        <v>91</v>
      </c>
      <c r="AB181" s="166"/>
    </row>
    <row r="182" spans="1:28" ht="30" hidden="1" customHeight="1">
      <c r="A182" s="166">
        <f t="shared" si="2"/>
        <v>141</v>
      </c>
      <c r="B182" s="45" t="s">
        <v>986</v>
      </c>
      <c r="C182" s="148" t="s">
        <v>987</v>
      </c>
      <c r="D182" s="53" t="s">
        <v>440</v>
      </c>
      <c r="E182" s="148" t="s">
        <v>441</v>
      </c>
      <c r="F182" s="148" t="s">
        <v>172</v>
      </c>
      <c r="G182" s="148" t="s">
        <v>988</v>
      </c>
      <c r="H182" s="148" t="s">
        <v>174</v>
      </c>
      <c r="I182" s="905">
        <v>2305</v>
      </c>
      <c r="J182" s="340">
        <v>0</v>
      </c>
      <c r="K182" s="819">
        <v>2305</v>
      </c>
      <c r="L182" s="148" t="s">
        <v>989</v>
      </c>
      <c r="M182" s="280">
        <v>2006</v>
      </c>
      <c r="N182" s="932">
        <v>39027</v>
      </c>
      <c r="O182" s="206" t="s">
        <v>931</v>
      </c>
      <c r="P182" s="27" t="s">
        <v>37</v>
      </c>
      <c r="Q182" s="239"/>
      <c r="R182" s="198" t="s">
        <v>89</v>
      </c>
      <c r="S182" s="198" t="s">
        <v>35</v>
      </c>
      <c r="T182" s="148" t="s">
        <v>35</v>
      </c>
      <c r="U182" s="148" t="s">
        <v>35</v>
      </c>
      <c r="V182" s="148" t="s">
        <v>35</v>
      </c>
      <c r="W182" s="204" t="s">
        <v>66</v>
      </c>
      <c r="X182" s="250" t="s">
        <v>965</v>
      </c>
      <c r="Y182" s="250">
        <v>4036</v>
      </c>
      <c r="Z182" s="148" t="s">
        <v>989</v>
      </c>
      <c r="AA182" s="166" t="s">
        <v>91</v>
      </c>
      <c r="AB182" s="166"/>
    </row>
    <row r="183" spans="1:28" ht="37.5" hidden="1" customHeight="1">
      <c r="A183" s="166">
        <f t="shared" si="2"/>
        <v>142</v>
      </c>
      <c r="B183" s="47" t="s">
        <v>990</v>
      </c>
      <c r="C183" s="148" t="s">
        <v>991</v>
      </c>
      <c r="D183" s="53" t="s">
        <v>440</v>
      </c>
      <c r="E183" s="148" t="s">
        <v>441</v>
      </c>
      <c r="F183" s="148" t="s">
        <v>210</v>
      </c>
      <c r="G183" s="148" t="s">
        <v>229</v>
      </c>
      <c r="H183" s="148" t="s">
        <v>212</v>
      </c>
      <c r="I183" s="905">
        <v>450</v>
      </c>
      <c r="J183" s="340">
        <v>0</v>
      </c>
      <c r="K183" s="819">
        <v>450</v>
      </c>
      <c r="L183" s="148" t="s">
        <v>992</v>
      </c>
      <c r="M183" s="280">
        <v>2006</v>
      </c>
      <c r="N183" s="922">
        <v>39023</v>
      </c>
      <c r="O183" s="206" t="s">
        <v>993</v>
      </c>
      <c r="P183" s="27" t="s">
        <v>37</v>
      </c>
      <c r="Q183" s="53"/>
      <c r="R183" s="198" t="s">
        <v>89</v>
      </c>
      <c r="S183" s="198" t="s">
        <v>35</v>
      </c>
      <c r="T183" s="148" t="s">
        <v>35</v>
      </c>
      <c r="U183" s="148" t="s">
        <v>35</v>
      </c>
      <c r="V183" s="148" t="s">
        <v>35</v>
      </c>
      <c r="W183" s="204" t="s">
        <v>66</v>
      </c>
      <c r="X183" s="923" t="s">
        <v>970</v>
      </c>
      <c r="Y183" s="923">
        <v>4681</v>
      </c>
      <c r="Z183" s="148" t="s">
        <v>992</v>
      </c>
      <c r="AA183" s="166" t="s">
        <v>91</v>
      </c>
      <c r="AB183" s="166"/>
    </row>
    <row r="184" spans="1:28" ht="37.5" hidden="1" customHeight="1">
      <c r="A184" s="166">
        <f t="shared" si="2"/>
        <v>143</v>
      </c>
      <c r="B184" s="45" t="s">
        <v>994</v>
      </c>
      <c r="C184" s="148" t="s">
        <v>995</v>
      </c>
      <c r="D184" s="53" t="s">
        <v>440</v>
      </c>
      <c r="E184" s="148" t="s">
        <v>441</v>
      </c>
      <c r="F184" s="148" t="s">
        <v>210</v>
      </c>
      <c r="G184" s="148" t="s">
        <v>229</v>
      </c>
      <c r="H184" s="148" t="s">
        <v>212</v>
      </c>
      <c r="I184" s="905">
        <v>815.72</v>
      </c>
      <c r="J184" s="340">
        <v>0</v>
      </c>
      <c r="K184" s="819">
        <v>815.72</v>
      </c>
      <c r="L184" s="148" t="s">
        <v>996</v>
      </c>
      <c r="M184" s="280">
        <v>2006</v>
      </c>
      <c r="N184" s="922">
        <v>39027</v>
      </c>
      <c r="O184" s="206" t="s">
        <v>993</v>
      </c>
      <c r="P184" s="27" t="s">
        <v>37</v>
      </c>
      <c r="Q184" s="53"/>
      <c r="R184" s="198" t="s">
        <v>89</v>
      </c>
      <c r="S184" s="198" t="s">
        <v>35</v>
      </c>
      <c r="T184" s="148" t="s">
        <v>35</v>
      </c>
      <c r="U184" s="148" t="s">
        <v>35</v>
      </c>
      <c r="V184" s="148" t="s">
        <v>35</v>
      </c>
      <c r="W184" s="204" t="s">
        <v>66</v>
      </c>
      <c r="X184" s="923" t="s">
        <v>970</v>
      </c>
      <c r="Y184" s="923">
        <v>4683</v>
      </c>
      <c r="Z184" s="148" t="s">
        <v>996</v>
      </c>
      <c r="AA184" s="166" t="s">
        <v>91</v>
      </c>
      <c r="AB184" s="166"/>
    </row>
    <row r="185" spans="1:28" ht="30" hidden="1" customHeight="1">
      <c r="A185" s="166">
        <f t="shared" si="2"/>
        <v>144</v>
      </c>
      <c r="B185" s="47" t="s">
        <v>997</v>
      </c>
      <c r="C185" s="148" t="s">
        <v>998</v>
      </c>
      <c r="D185" s="53" t="s">
        <v>440</v>
      </c>
      <c r="E185" s="148" t="s">
        <v>441</v>
      </c>
      <c r="F185" s="53" t="s">
        <v>155</v>
      </c>
      <c r="G185" s="148" t="s">
        <v>374</v>
      </c>
      <c r="H185" s="148" t="s">
        <v>197</v>
      </c>
      <c r="I185" s="313">
        <v>16.32</v>
      </c>
      <c r="J185" s="318">
        <v>16.32</v>
      </c>
      <c r="K185" s="341">
        <v>16.32</v>
      </c>
      <c r="L185" s="148" t="s">
        <v>999</v>
      </c>
      <c r="M185" s="166">
        <v>2006</v>
      </c>
      <c r="N185" s="879">
        <v>39020</v>
      </c>
      <c r="O185" s="342" t="s">
        <v>1000</v>
      </c>
      <c r="P185" s="198" t="s">
        <v>37</v>
      </c>
      <c r="Q185" s="53"/>
      <c r="R185" s="198" t="s">
        <v>89</v>
      </c>
      <c r="S185" s="198" t="s">
        <v>35</v>
      </c>
      <c r="T185" s="148" t="s">
        <v>35</v>
      </c>
      <c r="U185" s="148" t="s">
        <v>35</v>
      </c>
      <c r="V185" s="148" t="s">
        <v>35</v>
      </c>
      <c r="W185" s="204" t="s">
        <v>66</v>
      </c>
      <c r="X185" s="27" t="s">
        <v>112</v>
      </c>
      <c r="Y185" s="27">
        <v>4935</v>
      </c>
      <c r="Z185" s="148" t="s">
        <v>999</v>
      </c>
      <c r="AA185" s="166" t="s">
        <v>91</v>
      </c>
      <c r="AB185" s="166"/>
    </row>
    <row r="186" spans="1:28" ht="30" hidden="1" customHeight="1">
      <c r="A186" s="166">
        <f t="shared" si="2"/>
        <v>145</v>
      </c>
      <c r="B186" s="45" t="s">
        <v>1001</v>
      </c>
      <c r="C186" s="148" t="s">
        <v>1002</v>
      </c>
      <c r="D186" s="53" t="s">
        <v>440</v>
      </c>
      <c r="E186" s="148" t="s">
        <v>441</v>
      </c>
      <c r="F186" s="148" t="s">
        <v>201</v>
      </c>
      <c r="G186" s="148" t="s">
        <v>1003</v>
      </c>
      <c r="H186" s="148" t="s">
        <v>726</v>
      </c>
      <c r="I186" s="313">
        <v>56.72</v>
      </c>
      <c r="J186" s="318">
        <v>56.72</v>
      </c>
      <c r="K186" s="341">
        <v>56.72</v>
      </c>
      <c r="L186" s="148" t="s">
        <v>1004</v>
      </c>
      <c r="M186" s="166">
        <v>2006</v>
      </c>
      <c r="N186" s="879">
        <v>39001</v>
      </c>
      <c r="O186" s="206" t="s">
        <v>1005</v>
      </c>
      <c r="P186" s="27" t="s">
        <v>37</v>
      </c>
      <c r="Q186" s="53"/>
      <c r="R186" s="198" t="s">
        <v>89</v>
      </c>
      <c r="S186" s="198" t="s">
        <v>35</v>
      </c>
      <c r="T186" s="148" t="s">
        <v>35</v>
      </c>
      <c r="U186" s="148" t="s">
        <v>35</v>
      </c>
      <c r="V186" s="148" t="s">
        <v>35</v>
      </c>
      <c r="W186" s="204" t="s">
        <v>66</v>
      </c>
      <c r="X186" s="27" t="s">
        <v>112</v>
      </c>
      <c r="Y186" s="27">
        <v>4782</v>
      </c>
      <c r="Z186" s="148" t="s">
        <v>1004</v>
      </c>
      <c r="AA186" s="166" t="s">
        <v>91</v>
      </c>
      <c r="AB186" s="166"/>
    </row>
    <row r="187" spans="1:28" ht="30" hidden="1" customHeight="1">
      <c r="A187" s="166">
        <f t="shared" si="2"/>
        <v>146</v>
      </c>
      <c r="B187" s="47" t="s">
        <v>1006</v>
      </c>
      <c r="C187" s="148" t="s">
        <v>1007</v>
      </c>
      <c r="D187" s="53" t="s">
        <v>440</v>
      </c>
      <c r="E187" s="148" t="s">
        <v>441</v>
      </c>
      <c r="F187" s="53" t="s">
        <v>164</v>
      </c>
      <c r="G187" s="148" t="s">
        <v>1008</v>
      </c>
      <c r="H187" s="148" t="s">
        <v>165</v>
      </c>
      <c r="I187" s="313">
        <v>18.29</v>
      </c>
      <c r="J187" s="318">
        <v>18.29</v>
      </c>
      <c r="K187" s="341">
        <v>18.29</v>
      </c>
      <c r="L187" s="148" t="s">
        <v>1009</v>
      </c>
      <c r="M187" s="166">
        <v>2006</v>
      </c>
      <c r="N187" s="879">
        <v>39079</v>
      </c>
      <c r="O187" s="206" t="s">
        <v>1010</v>
      </c>
      <c r="P187" s="27" t="s">
        <v>37</v>
      </c>
      <c r="Q187" s="53"/>
      <c r="R187" s="198" t="s">
        <v>89</v>
      </c>
      <c r="S187" s="198" t="s">
        <v>35</v>
      </c>
      <c r="T187" s="148" t="s">
        <v>35</v>
      </c>
      <c r="U187" s="148" t="s">
        <v>35</v>
      </c>
      <c r="V187" s="148" t="s">
        <v>35</v>
      </c>
      <c r="W187" s="204" t="s">
        <v>66</v>
      </c>
      <c r="X187" s="27" t="s">
        <v>112</v>
      </c>
      <c r="Y187" s="27">
        <v>5021</v>
      </c>
      <c r="Z187" s="148" t="s">
        <v>1009</v>
      </c>
      <c r="AA187" s="166" t="s">
        <v>91</v>
      </c>
      <c r="AB187" s="166"/>
    </row>
    <row r="188" spans="1:28" ht="30" hidden="1" customHeight="1">
      <c r="A188" s="166">
        <f t="shared" si="2"/>
        <v>147</v>
      </c>
      <c r="B188" s="45" t="s">
        <v>1011</v>
      </c>
      <c r="C188" s="148" t="s">
        <v>1012</v>
      </c>
      <c r="D188" s="53" t="s">
        <v>440</v>
      </c>
      <c r="E188" s="148" t="s">
        <v>441</v>
      </c>
      <c r="F188" s="148" t="s">
        <v>210</v>
      </c>
      <c r="G188" s="148" t="s">
        <v>457</v>
      </c>
      <c r="H188" s="148" t="s">
        <v>212</v>
      </c>
      <c r="I188" s="313">
        <v>1360</v>
      </c>
      <c r="J188" s="340">
        <v>0</v>
      </c>
      <c r="K188" s="341">
        <v>1360</v>
      </c>
      <c r="L188" s="148" t="s">
        <v>1013</v>
      </c>
      <c r="M188" s="166">
        <v>2006</v>
      </c>
      <c r="N188" s="879">
        <v>39079</v>
      </c>
      <c r="O188" s="206" t="s">
        <v>931</v>
      </c>
      <c r="P188" s="27" t="s">
        <v>37</v>
      </c>
      <c r="Q188" s="898"/>
      <c r="R188" s="198" t="s">
        <v>89</v>
      </c>
      <c r="S188" s="198" t="s">
        <v>35</v>
      </c>
      <c r="T188" s="148" t="s">
        <v>35</v>
      </c>
      <c r="U188" s="148" t="s">
        <v>35</v>
      </c>
      <c r="V188" s="148" t="s">
        <v>35</v>
      </c>
      <c r="W188" s="204" t="s">
        <v>66</v>
      </c>
      <c r="X188" s="137" t="s">
        <v>176</v>
      </c>
      <c r="Y188" s="137">
        <v>4029</v>
      </c>
      <c r="Z188" s="148" t="s">
        <v>1013</v>
      </c>
      <c r="AA188" s="166" t="s">
        <v>91</v>
      </c>
      <c r="AB188" s="166"/>
    </row>
    <row r="189" spans="1:28" ht="30" hidden="1" customHeight="1">
      <c r="A189" s="166">
        <f t="shared" si="2"/>
        <v>148</v>
      </c>
      <c r="B189" s="47" t="s">
        <v>1014</v>
      </c>
      <c r="C189" s="148" t="s">
        <v>1015</v>
      </c>
      <c r="D189" s="53" t="s">
        <v>440</v>
      </c>
      <c r="E189" s="148" t="s">
        <v>441</v>
      </c>
      <c r="F189" s="148" t="s">
        <v>210</v>
      </c>
      <c r="G189" s="148" t="s">
        <v>457</v>
      </c>
      <c r="H189" s="148" t="s">
        <v>212</v>
      </c>
      <c r="I189" s="313">
        <v>1326</v>
      </c>
      <c r="J189" s="340">
        <v>0</v>
      </c>
      <c r="K189" s="341">
        <v>1326</v>
      </c>
      <c r="L189" s="148" t="s">
        <v>1016</v>
      </c>
      <c r="M189" s="166">
        <v>2006</v>
      </c>
      <c r="N189" s="879">
        <v>39079</v>
      </c>
      <c r="O189" s="206" t="s">
        <v>931</v>
      </c>
      <c r="P189" s="27" t="s">
        <v>37</v>
      </c>
      <c r="Q189" s="898"/>
      <c r="R189" s="198" t="s">
        <v>89</v>
      </c>
      <c r="S189" s="198" t="s">
        <v>35</v>
      </c>
      <c r="T189" s="148" t="s">
        <v>35</v>
      </c>
      <c r="U189" s="148" t="s">
        <v>35</v>
      </c>
      <c r="V189" s="148" t="s">
        <v>35</v>
      </c>
      <c r="W189" s="204" t="s">
        <v>66</v>
      </c>
      <c r="X189" s="137" t="s">
        <v>176</v>
      </c>
      <c r="Y189" s="137">
        <v>4033</v>
      </c>
      <c r="Z189" s="148" t="s">
        <v>1016</v>
      </c>
      <c r="AA189" s="166" t="s">
        <v>91</v>
      </c>
      <c r="AB189" s="166"/>
    </row>
    <row r="190" spans="1:28" ht="30" hidden="1" customHeight="1">
      <c r="A190" s="166">
        <f t="shared" si="2"/>
        <v>149</v>
      </c>
      <c r="B190" s="45" t="s">
        <v>1017</v>
      </c>
      <c r="C190" s="53" t="s">
        <v>1018</v>
      </c>
      <c r="D190" s="53" t="s">
        <v>440</v>
      </c>
      <c r="E190" s="148" t="s">
        <v>441</v>
      </c>
      <c r="F190" s="53" t="s">
        <v>210</v>
      </c>
      <c r="G190" s="148" t="s">
        <v>457</v>
      </c>
      <c r="H190" s="53" t="s">
        <v>212</v>
      </c>
      <c r="I190" s="313">
        <v>1260</v>
      </c>
      <c r="J190" s="340">
        <v>0</v>
      </c>
      <c r="K190" s="341">
        <v>1260</v>
      </c>
      <c r="L190" s="148" t="s">
        <v>1019</v>
      </c>
      <c r="M190" s="166">
        <v>2006</v>
      </c>
      <c r="N190" s="879">
        <v>39079</v>
      </c>
      <c r="O190" s="929" t="s">
        <v>931</v>
      </c>
      <c r="P190" s="27" t="s">
        <v>37</v>
      </c>
      <c r="Q190" s="898"/>
      <c r="R190" s="198" t="s">
        <v>89</v>
      </c>
      <c r="S190" s="198" t="s">
        <v>35</v>
      </c>
      <c r="T190" s="148" t="s">
        <v>35</v>
      </c>
      <c r="U190" s="148" t="s">
        <v>35</v>
      </c>
      <c r="V190" s="148" t="s">
        <v>35</v>
      </c>
      <c r="W190" s="204" t="s">
        <v>66</v>
      </c>
      <c r="X190" s="137" t="s">
        <v>176</v>
      </c>
      <c r="Y190" s="137">
        <v>4034</v>
      </c>
      <c r="Z190" s="148" t="s">
        <v>1019</v>
      </c>
      <c r="AA190" s="166" t="s">
        <v>91</v>
      </c>
      <c r="AB190" s="166"/>
    </row>
    <row r="191" spans="1:28" ht="30" hidden="1" customHeight="1">
      <c r="A191" s="166">
        <f t="shared" si="2"/>
        <v>150</v>
      </c>
      <c r="B191" s="47" t="s">
        <v>1020</v>
      </c>
      <c r="C191" s="53" t="s">
        <v>1021</v>
      </c>
      <c r="D191" s="53" t="s">
        <v>440</v>
      </c>
      <c r="E191" s="148" t="s">
        <v>441</v>
      </c>
      <c r="F191" s="53" t="s">
        <v>210</v>
      </c>
      <c r="G191" s="148" t="s">
        <v>457</v>
      </c>
      <c r="H191" s="53" t="s">
        <v>212</v>
      </c>
      <c r="I191" s="313">
        <v>1260</v>
      </c>
      <c r="J191" s="340">
        <v>0</v>
      </c>
      <c r="K191" s="341">
        <v>1260</v>
      </c>
      <c r="L191" s="148" t="s">
        <v>1022</v>
      </c>
      <c r="M191" s="166">
        <v>2006</v>
      </c>
      <c r="N191" s="879">
        <v>39079</v>
      </c>
      <c r="O191" s="929" t="s">
        <v>931</v>
      </c>
      <c r="P191" s="27" t="s">
        <v>37</v>
      </c>
      <c r="Q191" s="898"/>
      <c r="R191" s="198" t="s">
        <v>89</v>
      </c>
      <c r="S191" s="198" t="s">
        <v>35</v>
      </c>
      <c r="T191" s="148" t="s">
        <v>35</v>
      </c>
      <c r="U191" s="148" t="s">
        <v>35</v>
      </c>
      <c r="V191" s="148" t="s">
        <v>35</v>
      </c>
      <c r="W191" s="204" t="s">
        <v>66</v>
      </c>
      <c r="X191" s="137" t="s">
        <v>176</v>
      </c>
      <c r="Y191" s="137">
        <v>4031</v>
      </c>
      <c r="Z191" s="148" t="s">
        <v>1022</v>
      </c>
      <c r="AA191" s="166" t="s">
        <v>91</v>
      </c>
      <c r="AB191" s="166"/>
    </row>
    <row r="192" spans="1:28" ht="30" hidden="1" customHeight="1">
      <c r="A192" s="166">
        <f t="shared" si="2"/>
        <v>151</v>
      </c>
      <c r="B192" s="45" t="s">
        <v>1023</v>
      </c>
      <c r="C192" s="148" t="s">
        <v>1024</v>
      </c>
      <c r="D192" s="53" t="s">
        <v>440</v>
      </c>
      <c r="E192" s="197" t="s">
        <v>441</v>
      </c>
      <c r="F192" s="148" t="s">
        <v>172</v>
      </c>
      <c r="G192" s="53" t="s">
        <v>173</v>
      </c>
      <c r="H192" s="148" t="s">
        <v>174</v>
      </c>
      <c r="I192" s="313">
        <v>31.15</v>
      </c>
      <c r="J192" s="315">
        <v>31.15</v>
      </c>
      <c r="K192" s="341">
        <v>31.15</v>
      </c>
      <c r="L192" s="148" t="s">
        <v>1025</v>
      </c>
      <c r="M192" s="148">
        <v>2006</v>
      </c>
      <c r="N192" s="879">
        <v>39096</v>
      </c>
      <c r="O192" s="206" t="s">
        <v>1026</v>
      </c>
      <c r="P192" s="27" t="s">
        <v>37</v>
      </c>
      <c r="Q192" s="53"/>
      <c r="R192" s="190" t="s">
        <v>38</v>
      </c>
      <c r="S192" s="194" t="s">
        <v>39</v>
      </c>
      <c r="T192" s="195" t="s">
        <v>1027</v>
      </c>
      <c r="U192" s="195">
        <v>2009</v>
      </c>
      <c r="V192" s="924" t="s">
        <v>85</v>
      </c>
      <c r="W192" s="66" t="s">
        <v>66</v>
      </c>
      <c r="X192" s="27" t="s">
        <v>112</v>
      </c>
      <c r="Y192" s="27">
        <v>4986</v>
      </c>
      <c r="Z192" s="148" t="s">
        <v>1025</v>
      </c>
      <c r="AA192" s="239" t="s">
        <v>1027</v>
      </c>
      <c r="AB192" s="933" t="s">
        <v>1028</v>
      </c>
    </row>
    <row r="193" spans="1:28" ht="30" hidden="1" customHeight="1">
      <c r="A193" s="166">
        <f t="shared" si="2"/>
        <v>152</v>
      </c>
      <c r="B193" s="47" t="s">
        <v>1029</v>
      </c>
      <c r="C193" s="902" t="s">
        <v>1030</v>
      </c>
      <c r="D193" s="53" t="s">
        <v>440</v>
      </c>
      <c r="E193" s="197" t="s">
        <v>441</v>
      </c>
      <c r="F193" s="148" t="s">
        <v>32</v>
      </c>
      <c r="G193" s="53" t="s">
        <v>767</v>
      </c>
      <c r="H193" s="148" t="s">
        <v>32</v>
      </c>
      <c r="I193" s="313">
        <v>498</v>
      </c>
      <c r="J193" s="340">
        <v>0</v>
      </c>
      <c r="K193" s="341">
        <v>498</v>
      </c>
      <c r="L193" s="148" t="s">
        <v>1031</v>
      </c>
      <c r="M193" s="148">
        <v>2007</v>
      </c>
      <c r="N193" s="879">
        <v>39240</v>
      </c>
      <c r="O193" s="206" t="s">
        <v>1032</v>
      </c>
      <c r="P193" s="27" t="s">
        <v>37</v>
      </c>
      <c r="Q193" s="53"/>
      <c r="R193" s="190" t="s">
        <v>38</v>
      </c>
      <c r="S193" s="194" t="s">
        <v>39</v>
      </c>
      <c r="T193" s="195" t="s">
        <v>1033</v>
      </c>
      <c r="U193" s="195">
        <v>2011</v>
      </c>
      <c r="V193" s="924" t="s">
        <v>145</v>
      </c>
      <c r="W193" s="66" t="s">
        <v>66</v>
      </c>
      <c r="X193" s="923" t="s">
        <v>937</v>
      </c>
      <c r="Y193" s="923">
        <v>5180</v>
      </c>
      <c r="Z193" s="148" t="s">
        <v>1031</v>
      </c>
      <c r="AA193" s="239" t="s">
        <v>1033</v>
      </c>
      <c r="AB193" s="204" t="s">
        <v>1034</v>
      </c>
    </row>
    <row r="194" spans="1:28" ht="30" hidden="1" customHeight="1">
      <c r="A194" s="166">
        <f t="shared" si="2"/>
        <v>153</v>
      </c>
      <c r="B194" s="45" t="s">
        <v>1035</v>
      </c>
      <c r="C194" s="148" t="s">
        <v>1036</v>
      </c>
      <c r="D194" s="53" t="s">
        <v>440</v>
      </c>
      <c r="E194" s="148" t="s">
        <v>441</v>
      </c>
      <c r="F194" s="148" t="s">
        <v>32</v>
      </c>
      <c r="G194" s="148" t="s">
        <v>59</v>
      </c>
      <c r="H194" s="148" t="s">
        <v>32</v>
      </c>
      <c r="I194" s="313">
        <v>64.599999999999994</v>
      </c>
      <c r="J194" s="340">
        <v>0</v>
      </c>
      <c r="K194" s="341">
        <v>64.599999999999994</v>
      </c>
      <c r="L194" s="148" t="s">
        <v>1037</v>
      </c>
      <c r="M194" s="148">
        <v>2007</v>
      </c>
      <c r="N194" s="879">
        <v>39154</v>
      </c>
      <c r="O194" s="206" t="s">
        <v>1038</v>
      </c>
      <c r="P194" s="27" t="s">
        <v>37</v>
      </c>
      <c r="Q194" s="53"/>
      <c r="R194" s="198" t="s">
        <v>89</v>
      </c>
      <c r="S194" s="198" t="s">
        <v>35</v>
      </c>
      <c r="T194" s="148" t="s">
        <v>35</v>
      </c>
      <c r="U194" s="148" t="s">
        <v>35</v>
      </c>
      <c r="V194" s="148" t="s">
        <v>35</v>
      </c>
      <c r="W194" s="204" t="s">
        <v>66</v>
      </c>
      <c r="X194" s="923" t="s">
        <v>937</v>
      </c>
      <c r="Y194" s="923">
        <v>5203</v>
      </c>
      <c r="Z194" s="148" t="s">
        <v>1037</v>
      </c>
      <c r="AA194" s="166" t="s">
        <v>91</v>
      </c>
      <c r="AB194" s="166"/>
    </row>
    <row r="195" spans="1:28" ht="30" hidden="1" customHeight="1">
      <c r="A195" s="166">
        <f t="shared" si="2"/>
        <v>154</v>
      </c>
      <c r="B195" s="45" t="s">
        <v>1039</v>
      </c>
      <c r="C195" s="148" t="s">
        <v>1040</v>
      </c>
      <c r="D195" s="53" t="s">
        <v>440</v>
      </c>
      <c r="E195" s="148" t="s">
        <v>441</v>
      </c>
      <c r="F195" s="148" t="s">
        <v>321</v>
      </c>
      <c r="G195" s="148" t="s">
        <v>592</v>
      </c>
      <c r="H195" s="148" t="s">
        <v>190</v>
      </c>
      <c r="I195" s="313">
        <v>126.02</v>
      </c>
      <c r="J195" s="318">
        <v>126.02</v>
      </c>
      <c r="K195" s="341">
        <v>126.02</v>
      </c>
      <c r="L195" s="148" t="s">
        <v>1041</v>
      </c>
      <c r="M195" s="166">
        <v>2007</v>
      </c>
      <c r="N195" s="879">
        <v>39168</v>
      </c>
      <c r="O195" s="206" t="s">
        <v>1042</v>
      </c>
      <c r="P195" s="27" t="s">
        <v>37</v>
      </c>
      <c r="Q195" s="53"/>
      <c r="R195" s="198" t="s">
        <v>89</v>
      </c>
      <c r="S195" s="198" t="s">
        <v>35</v>
      </c>
      <c r="T195" s="148" t="s">
        <v>35</v>
      </c>
      <c r="U195" s="148" t="s">
        <v>35</v>
      </c>
      <c r="V195" s="148" t="s">
        <v>35</v>
      </c>
      <c r="W195" s="204" t="s">
        <v>66</v>
      </c>
      <c r="X195" s="27" t="s">
        <v>112</v>
      </c>
      <c r="Y195" s="27">
        <v>5023</v>
      </c>
      <c r="Z195" s="148" t="s">
        <v>1041</v>
      </c>
      <c r="AA195" s="166" t="s">
        <v>91</v>
      </c>
      <c r="AB195" s="166"/>
    </row>
    <row r="196" spans="1:28" ht="30" hidden="1" customHeight="1">
      <c r="A196" s="166">
        <f t="shared" si="2"/>
        <v>155</v>
      </c>
      <c r="B196" s="47" t="s">
        <v>1043</v>
      </c>
      <c r="C196" s="148" t="s">
        <v>1044</v>
      </c>
      <c r="D196" s="53" t="s">
        <v>440</v>
      </c>
      <c r="E196" s="148" t="s">
        <v>441</v>
      </c>
      <c r="F196" s="148" t="s">
        <v>201</v>
      </c>
      <c r="G196" s="148" t="s">
        <v>1003</v>
      </c>
      <c r="H196" s="148" t="s">
        <v>726</v>
      </c>
      <c r="I196" s="322">
        <v>103.27500000000001</v>
      </c>
      <c r="J196" s="318">
        <v>103.27500000000001</v>
      </c>
      <c r="K196" s="341">
        <v>103.27500000000001</v>
      </c>
      <c r="L196" s="148" t="s">
        <v>1045</v>
      </c>
      <c r="M196" s="166">
        <v>2007</v>
      </c>
      <c r="N196" s="879">
        <v>39189</v>
      </c>
      <c r="O196" s="206" t="s">
        <v>1046</v>
      </c>
      <c r="P196" s="27" t="s">
        <v>37</v>
      </c>
      <c r="Q196" s="53"/>
      <c r="R196" s="198" t="s">
        <v>89</v>
      </c>
      <c r="S196" s="198" t="s">
        <v>35</v>
      </c>
      <c r="T196" s="148" t="s">
        <v>35</v>
      </c>
      <c r="U196" s="148" t="s">
        <v>35</v>
      </c>
      <c r="V196" s="148" t="s">
        <v>35</v>
      </c>
      <c r="W196" s="204" t="s">
        <v>66</v>
      </c>
      <c r="X196" s="27" t="s">
        <v>112</v>
      </c>
      <c r="Y196" s="27">
        <v>4896</v>
      </c>
      <c r="Z196" s="148" t="s">
        <v>1045</v>
      </c>
      <c r="AA196" s="166" t="s">
        <v>91</v>
      </c>
      <c r="AB196" s="166"/>
    </row>
    <row r="197" spans="1:28" ht="37.5" hidden="1" customHeight="1">
      <c r="A197" s="166">
        <f t="shared" ref="A197:A260" si="3">A196+1</f>
        <v>156</v>
      </c>
      <c r="B197" s="45" t="s">
        <v>1047</v>
      </c>
      <c r="C197" s="148" t="s">
        <v>1048</v>
      </c>
      <c r="D197" s="53" t="s">
        <v>440</v>
      </c>
      <c r="E197" s="148" t="s">
        <v>441</v>
      </c>
      <c r="F197" s="148" t="s">
        <v>321</v>
      </c>
      <c r="G197" s="148" t="s">
        <v>1049</v>
      </c>
      <c r="H197" s="148" t="s">
        <v>1050</v>
      </c>
      <c r="I197" s="313">
        <v>237.3</v>
      </c>
      <c r="J197" s="318">
        <v>237.3</v>
      </c>
      <c r="K197" s="341">
        <v>237.3</v>
      </c>
      <c r="L197" s="148" t="s">
        <v>1051</v>
      </c>
      <c r="M197" s="166">
        <v>2007</v>
      </c>
      <c r="N197" s="879">
        <v>39205</v>
      </c>
      <c r="O197" s="206" t="s">
        <v>1052</v>
      </c>
      <c r="P197" s="27" t="s">
        <v>37</v>
      </c>
      <c r="Q197" s="53"/>
      <c r="R197" s="198" t="s">
        <v>89</v>
      </c>
      <c r="S197" s="198" t="s">
        <v>35</v>
      </c>
      <c r="T197" s="148" t="s">
        <v>35</v>
      </c>
      <c r="U197" s="148" t="s">
        <v>35</v>
      </c>
      <c r="V197" s="148" t="s">
        <v>35</v>
      </c>
      <c r="W197" s="204" t="s">
        <v>66</v>
      </c>
      <c r="X197" s="27" t="s">
        <v>112</v>
      </c>
      <c r="Y197" s="27">
        <v>5144</v>
      </c>
      <c r="Z197" s="148" t="s">
        <v>1051</v>
      </c>
      <c r="AA197" s="166" t="s">
        <v>91</v>
      </c>
      <c r="AB197" s="166"/>
    </row>
    <row r="198" spans="1:28" ht="30" hidden="1" customHeight="1">
      <c r="A198" s="166">
        <f t="shared" si="3"/>
        <v>157</v>
      </c>
      <c r="B198" s="47" t="s">
        <v>1053</v>
      </c>
      <c r="C198" s="148" t="s">
        <v>1054</v>
      </c>
      <c r="D198" s="53" t="s">
        <v>440</v>
      </c>
      <c r="E198" s="148" t="s">
        <v>441</v>
      </c>
      <c r="F198" s="53" t="s">
        <v>535</v>
      </c>
      <c r="G198" s="148" t="s">
        <v>1055</v>
      </c>
      <c r="H198" s="148" t="s">
        <v>537</v>
      </c>
      <c r="I198" s="313">
        <v>202.19800000000001</v>
      </c>
      <c r="J198" s="318">
        <v>202.19800000000001</v>
      </c>
      <c r="K198" s="341">
        <v>202.19800000000001</v>
      </c>
      <c r="L198" s="148" t="s">
        <v>1056</v>
      </c>
      <c r="M198" s="166">
        <v>2007</v>
      </c>
      <c r="N198" s="879">
        <v>39210</v>
      </c>
      <c r="O198" s="206" t="s">
        <v>1057</v>
      </c>
      <c r="P198" s="27" t="s">
        <v>37</v>
      </c>
      <c r="Q198" s="898"/>
      <c r="R198" s="198" t="s">
        <v>89</v>
      </c>
      <c r="S198" s="198" t="s">
        <v>35</v>
      </c>
      <c r="T198" s="148" t="s">
        <v>35</v>
      </c>
      <c r="U198" s="148" t="s">
        <v>35</v>
      </c>
      <c r="V198" s="148" t="s">
        <v>35</v>
      </c>
      <c r="W198" s="204" t="s">
        <v>66</v>
      </c>
      <c r="X198" s="27" t="s">
        <v>112</v>
      </c>
      <c r="Y198" s="27">
        <v>5249</v>
      </c>
      <c r="Z198" s="148" t="s">
        <v>1056</v>
      </c>
      <c r="AA198" s="166" t="s">
        <v>91</v>
      </c>
      <c r="AB198" s="166"/>
    </row>
    <row r="199" spans="1:28" ht="52.5" hidden="1" customHeight="1">
      <c r="A199" s="166">
        <f t="shared" si="3"/>
        <v>158</v>
      </c>
      <c r="B199" s="45" t="s">
        <v>1058</v>
      </c>
      <c r="C199" s="200" t="s">
        <v>1059</v>
      </c>
      <c r="D199" s="148" t="s">
        <v>496</v>
      </c>
      <c r="E199" s="148" t="s">
        <v>497</v>
      </c>
      <c r="F199" s="53" t="s">
        <v>164</v>
      </c>
      <c r="G199" s="148" t="s">
        <v>1060</v>
      </c>
      <c r="H199" s="148" t="s">
        <v>348</v>
      </c>
      <c r="I199" s="313">
        <v>557.4</v>
      </c>
      <c r="J199" s="318">
        <v>557.4</v>
      </c>
      <c r="K199" s="341">
        <v>557.4</v>
      </c>
      <c r="L199" s="198" t="s">
        <v>1061</v>
      </c>
      <c r="M199" s="166">
        <v>2007</v>
      </c>
      <c r="N199" s="879">
        <v>39191</v>
      </c>
      <c r="O199" s="53" t="s">
        <v>1062</v>
      </c>
      <c r="P199" s="27" t="s">
        <v>37</v>
      </c>
      <c r="Q199" s="53"/>
      <c r="R199" s="190" t="s">
        <v>38</v>
      </c>
      <c r="S199" s="194" t="s">
        <v>39</v>
      </c>
      <c r="T199" s="200" t="s">
        <v>1063</v>
      </c>
      <c r="U199" s="200">
        <v>2008</v>
      </c>
      <c r="V199" s="200" t="s">
        <v>121</v>
      </c>
      <c r="W199" s="204" t="s">
        <v>66</v>
      </c>
      <c r="X199" s="27" t="s">
        <v>112</v>
      </c>
      <c r="Y199" s="27">
        <v>4624</v>
      </c>
      <c r="Z199" s="148" t="s">
        <v>1064</v>
      </c>
      <c r="AA199" s="148" t="s">
        <v>1063</v>
      </c>
      <c r="AB199" s="204" t="s">
        <v>1034</v>
      </c>
    </row>
    <row r="200" spans="1:28" ht="30" hidden="1" customHeight="1">
      <c r="A200" s="166">
        <f t="shared" si="3"/>
        <v>159</v>
      </c>
      <c r="B200" s="47" t="s">
        <v>1065</v>
      </c>
      <c r="C200" s="148" t="s">
        <v>1066</v>
      </c>
      <c r="D200" s="53" t="s">
        <v>440</v>
      </c>
      <c r="E200" s="148" t="s">
        <v>441</v>
      </c>
      <c r="F200" s="148" t="s">
        <v>172</v>
      </c>
      <c r="G200" s="148" t="s">
        <v>860</v>
      </c>
      <c r="H200" s="148" t="s">
        <v>174</v>
      </c>
      <c r="I200" s="322">
        <v>609.41</v>
      </c>
      <c r="J200" s="815">
        <v>609.41</v>
      </c>
      <c r="K200" s="341">
        <v>609.41</v>
      </c>
      <c r="L200" s="148" t="s">
        <v>1067</v>
      </c>
      <c r="M200" s="166">
        <v>2007</v>
      </c>
      <c r="N200" s="879">
        <v>39184</v>
      </c>
      <c r="O200" s="206" t="s">
        <v>1068</v>
      </c>
      <c r="P200" s="27" t="s">
        <v>37</v>
      </c>
      <c r="Q200" s="53"/>
      <c r="R200" s="198" t="s">
        <v>89</v>
      </c>
      <c r="S200" s="198" t="s">
        <v>35</v>
      </c>
      <c r="T200" s="148" t="s">
        <v>35</v>
      </c>
      <c r="U200" s="148" t="s">
        <v>35</v>
      </c>
      <c r="V200" s="148" t="s">
        <v>35</v>
      </c>
      <c r="W200" s="204" t="s">
        <v>66</v>
      </c>
      <c r="X200" s="27" t="s">
        <v>112</v>
      </c>
      <c r="Y200" s="27">
        <v>4482</v>
      </c>
      <c r="Z200" s="148" t="s">
        <v>1067</v>
      </c>
      <c r="AA200" s="166" t="s">
        <v>91</v>
      </c>
      <c r="AB200" s="166"/>
    </row>
    <row r="201" spans="1:28" ht="38.25" hidden="1" customHeight="1">
      <c r="A201" s="166">
        <f t="shared" si="3"/>
        <v>160</v>
      </c>
      <c r="B201" s="45" t="s">
        <v>1069</v>
      </c>
      <c r="C201" s="148" t="s">
        <v>1070</v>
      </c>
      <c r="D201" s="148" t="s">
        <v>496</v>
      </c>
      <c r="E201" s="148" t="s">
        <v>497</v>
      </c>
      <c r="F201" s="53" t="s">
        <v>164</v>
      </c>
      <c r="G201" s="148" t="s">
        <v>1071</v>
      </c>
      <c r="H201" s="148" t="s">
        <v>165</v>
      </c>
      <c r="I201" s="322">
        <v>40.71</v>
      </c>
      <c r="J201" s="815">
        <v>40.71</v>
      </c>
      <c r="K201" s="341">
        <v>40.71</v>
      </c>
      <c r="L201" s="148" t="s">
        <v>1072</v>
      </c>
      <c r="M201" s="166">
        <v>2007</v>
      </c>
      <c r="N201" s="879">
        <v>39184</v>
      </c>
      <c r="O201" s="53" t="s">
        <v>1073</v>
      </c>
      <c r="P201" s="27" t="s">
        <v>37</v>
      </c>
      <c r="Q201" s="53"/>
      <c r="R201" s="190" t="s">
        <v>38</v>
      </c>
      <c r="S201" s="194" t="s">
        <v>39</v>
      </c>
      <c r="T201" s="195" t="s">
        <v>1074</v>
      </c>
      <c r="U201" s="195">
        <v>2009</v>
      </c>
      <c r="V201" s="924" t="s">
        <v>85</v>
      </c>
      <c r="W201" s="66" t="s">
        <v>66</v>
      </c>
      <c r="X201" s="27" t="s">
        <v>112</v>
      </c>
      <c r="Y201" s="27">
        <v>4622</v>
      </c>
      <c r="Z201" s="148" t="s">
        <v>1072</v>
      </c>
      <c r="AA201" s="239" t="s">
        <v>1074</v>
      </c>
      <c r="AB201" s="148" t="s">
        <v>1075</v>
      </c>
    </row>
    <row r="202" spans="1:28" ht="38.25" hidden="1" customHeight="1">
      <c r="A202" s="166">
        <f t="shared" si="3"/>
        <v>161</v>
      </c>
      <c r="B202" s="47" t="s">
        <v>1076</v>
      </c>
      <c r="C202" s="148" t="s">
        <v>1077</v>
      </c>
      <c r="D202" s="53" t="s">
        <v>440</v>
      </c>
      <c r="E202" s="148" t="s">
        <v>441</v>
      </c>
      <c r="F202" s="148" t="s">
        <v>210</v>
      </c>
      <c r="G202" s="148" t="s">
        <v>457</v>
      </c>
      <c r="H202" s="148" t="s">
        <v>212</v>
      </c>
      <c r="I202" s="313">
        <v>278.20800000000003</v>
      </c>
      <c r="J202" s="340">
        <v>0</v>
      </c>
      <c r="K202" s="341">
        <v>278.20999999999998</v>
      </c>
      <c r="L202" s="148" t="s">
        <v>1078</v>
      </c>
      <c r="M202" s="166">
        <v>2007</v>
      </c>
      <c r="N202" s="879">
        <v>39209</v>
      </c>
      <c r="O202" s="206" t="s">
        <v>1079</v>
      </c>
      <c r="P202" s="27" t="s">
        <v>37</v>
      </c>
      <c r="Q202" s="53"/>
      <c r="R202" s="198" t="s">
        <v>89</v>
      </c>
      <c r="S202" s="198" t="s">
        <v>35</v>
      </c>
      <c r="T202" s="148" t="s">
        <v>35</v>
      </c>
      <c r="U202" s="148" t="s">
        <v>35</v>
      </c>
      <c r="V202" s="148" t="s">
        <v>35</v>
      </c>
      <c r="W202" s="204" t="s">
        <v>66</v>
      </c>
      <c r="X202" s="923" t="s">
        <v>1080</v>
      </c>
      <c r="Y202" s="923">
        <v>4720</v>
      </c>
      <c r="Z202" s="148" t="s">
        <v>1078</v>
      </c>
      <c r="AA202" s="166" t="s">
        <v>91</v>
      </c>
      <c r="AB202" s="166"/>
    </row>
    <row r="203" spans="1:28" ht="30" hidden="1" customHeight="1">
      <c r="A203" s="166">
        <f t="shared" si="3"/>
        <v>162</v>
      </c>
      <c r="B203" s="45" t="s">
        <v>1081</v>
      </c>
      <c r="C203" s="148" t="s">
        <v>1082</v>
      </c>
      <c r="D203" s="148" t="s">
        <v>496</v>
      </c>
      <c r="E203" s="148" t="s">
        <v>497</v>
      </c>
      <c r="F203" s="148" t="s">
        <v>32</v>
      </c>
      <c r="G203" s="148" t="s">
        <v>59</v>
      </c>
      <c r="H203" s="148" t="s">
        <v>32</v>
      </c>
      <c r="I203" s="313">
        <v>22.97</v>
      </c>
      <c r="J203" s="318">
        <v>22.97</v>
      </c>
      <c r="K203" s="341">
        <v>22.97</v>
      </c>
      <c r="L203" s="148" t="s">
        <v>1083</v>
      </c>
      <c r="M203" s="166">
        <v>2007</v>
      </c>
      <c r="N203" s="879">
        <v>39205</v>
      </c>
      <c r="O203" s="53" t="s">
        <v>1084</v>
      </c>
      <c r="P203" s="27" t="s">
        <v>37</v>
      </c>
      <c r="Q203" s="53"/>
      <c r="R203" s="190" t="s">
        <v>38</v>
      </c>
      <c r="S203" s="194" t="s">
        <v>39</v>
      </c>
      <c r="T203" s="195" t="s">
        <v>1085</v>
      </c>
      <c r="U203" s="195">
        <v>2010</v>
      </c>
      <c r="V203" s="924" t="s">
        <v>85</v>
      </c>
      <c r="W203" s="66" t="s">
        <v>66</v>
      </c>
      <c r="X203" s="27" t="s">
        <v>112</v>
      </c>
      <c r="Y203" s="27">
        <v>5215</v>
      </c>
      <c r="Z203" s="148" t="s">
        <v>1083</v>
      </c>
      <c r="AA203" s="239" t="s">
        <v>1085</v>
      </c>
      <c r="AB203" s="933" t="s">
        <v>1086</v>
      </c>
    </row>
    <row r="204" spans="1:28" ht="30" hidden="1" customHeight="1">
      <c r="A204" s="166">
        <f t="shared" si="3"/>
        <v>163</v>
      </c>
      <c r="B204" s="47" t="s">
        <v>1087</v>
      </c>
      <c r="C204" s="148" t="s">
        <v>1088</v>
      </c>
      <c r="D204" s="148" t="s">
        <v>496</v>
      </c>
      <c r="E204" s="148" t="s">
        <v>497</v>
      </c>
      <c r="F204" s="148" t="s">
        <v>32</v>
      </c>
      <c r="G204" s="148" t="s">
        <v>59</v>
      </c>
      <c r="H204" s="148" t="s">
        <v>32</v>
      </c>
      <c r="I204" s="313">
        <v>68</v>
      </c>
      <c r="J204" s="318">
        <v>68</v>
      </c>
      <c r="K204" s="341">
        <v>68</v>
      </c>
      <c r="L204" s="148" t="s">
        <v>1089</v>
      </c>
      <c r="M204" s="166">
        <v>2007</v>
      </c>
      <c r="N204" s="879">
        <v>39210</v>
      </c>
      <c r="O204" s="53" t="s">
        <v>1084</v>
      </c>
      <c r="P204" s="27" t="s">
        <v>37</v>
      </c>
      <c r="Q204" s="53"/>
      <c r="R204" s="190" t="s">
        <v>38</v>
      </c>
      <c r="S204" s="194" t="s">
        <v>39</v>
      </c>
      <c r="T204" s="195" t="s">
        <v>1085</v>
      </c>
      <c r="U204" s="195">
        <v>2010</v>
      </c>
      <c r="V204" s="924" t="s">
        <v>85</v>
      </c>
      <c r="W204" s="66" t="s">
        <v>66</v>
      </c>
      <c r="X204" s="27" t="s">
        <v>112</v>
      </c>
      <c r="Y204" s="27">
        <v>5273</v>
      </c>
      <c r="Z204" s="148" t="s">
        <v>1089</v>
      </c>
      <c r="AA204" s="239" t="s">
        <v>1085</v>
      </c>
      <c r="AB204" s="933" t="s">
        <v>1086</v>
      </c>
    </row>
    <row r="205" spans="1:28" ht="30" hidden="1" customHeight="1">
      <c r="A205" s="166">
        <f t="shared" si="3"/>
        <v>164</v>
      </c>
      <c r="B205" s="45" t="s">
        <v>1090</v>
      </c>
      <c r="C205" s="148" t="s">
        <v>1091</v>
      </c>
      <c r="D205" s="148" t="s">
        <v>496</v>
      </c>
      <c r="E205" s="148" t="s">
        <v>497</v>
      </c>
      <c r="F205" s="148" t="s">
        <v>32</v>
      </c>
      <c r="G205" s="148" t="s">
        <v>59</v>
      </c>
      <c r="H205" s="148" t="s">
        <v>32</v>
      </c>
      <c r="I205" s="313">
        <v>7.57</v>
      </c>
      <c r="J205" s="318">
        <v>7.57</v>
      </c>
      <c r="K205" s="341">
        <v>7.57</v>
      </c>
      <c r="L205" s="148" t="s">
        <v>1092</v>
      </c>
      <c r="M205" s="166">
        <v>2007</v>
      </c>
      <c r="N205" s="879">
        <v>39240</v>
      </c>
      <c r="O205" s="53" t="s">
        <v>1084</v>
      </c>
      <c r="P205" s="27" t="s">
        <v>37</v>
      </c>
      <c r="Q205" s="53"/>
      <c r="R205" s="190" t="s">
        <v>38</v>
      </c>
      <c r="S205" s="194" t="s">
        <v>39</v>
      </c>
      <c r="T205" s="195" t="s">
        <v>1085</v>
      </c>
      <c r="U205" s="195">
        <v>2010</v>
      </c>
      <c r="V205" s="924" t="s">
        <v>85</v>
      </c>
      <c r="W205" s="66" t="s">
        <v>66</v>
      </c>
      <c r="X205" s="27" t="s">
        <v>112</v>
      </c>
      <c r="Y205" s="27">
        <v>5274</v>
      </c>
      <c r="Z205" s="148" t="s">
        <v>1092</v>
      </c>
      <c r="AA205" s="239" t="s">
        <v>1085</v>
      </c>
      <c r="AB205" s="933" t="s">
        <v>1086</v>
      </c>
    </row>
    <row r="206" spans="1:28" ht="30" hidden="1" customHeight="1">
      <c r="A206" s="166">
        <f t="shared" si="3"/>
        <v>165</v>
      </c>
      <c r="B206" s="47" t="s">
        <v>1093</v>
      </c>
      <c r="C206" s="148" t="s">
        <v>1094</v>
      </c>
      <c r="D206" s="148" t="s">
        <v>496</v>
      </c>
      <c r="E206" s="197" t="s">
        <v>497</v>
      </c>
      <c r="F206" s="148" t="s">
        <v>172</v>
      </c>
      <c r="G206" s="53" t="s">
        <v>1094</v>
      </c>
      <c r="H206" s="148" t="s">
        <v>235</v>
      </c>
      <c r="I206" s="313">
        <v>3572.71</v>
      </c>
      <c r="J206" s="318">
        <v>3572.71</v>
      </c>
      <c r="K206" s="341">
        <v>3572.71</v>
      </c>
      <c r="L206" s="148" t="s">
        <v>1095</v>
      </c>
      <c r="M206" s="166">
        <v>2007</v>
      </c>
      <c r="N206" s="877" t="s">
        <v>571</v>
      </c>
      <c r="O206" s="53" t="s">
        <v>1096</v>
      </c>
      <c r="P206" s="27" t="s">
        <v>37</v>
      </c>
      <c r="Q206" s="53"/>
      <c r="R206" s="198" t="s">
        <v>89</v>
      </c>
      <c r="S206" s="198" t="s">
        <v>35</v>
      </c>
      <c r="T206" s="148" t="s">
        <v>35</v>
      </c>
      <c r="U206" s="148" t="s">
        <v>35</v>
      </c>
      <c r="V206" s="148" t="s">
        <v>35</v>
      </c>
      <c r="W206" s="204" t="s">
        <v>66</v>
      </c>
      <c r="X206" s="27" t="s">
        <v>112</v>
      </c>
      <c r="Y206" s="27">
        <v>5270</v>
      </c>
      <c r="Z206" s="148" t="s">
        <v>1095</v>
      </c>
      <c r="AA206" s="166" t="s">
        <v>91</v>
      </c>
      <c r="AB206" s="166"/>
    </row>
    <row r="207" spans="1:28" ht="30" hidden="1" customHeight="1">
      <c r="A207" s="166">
        <f t="shared" si="3"/>
        <v>166</v>
      </c>
      <c r="B207" s="45" t="s">
        <v>1097</v>
      </c>
      <c r="C207" s="148" t="s">
        <v>1098</v>
      </c>
      <c r="D207" s="53" t="s">
        <v>440</v>
      </c>
      <c r="E207" s="197" t="s">
        <v>441</v>
      </c>
      <c r="F207" s="148" t="s">
        <v>188</v>
      </c>
      <c r="G207" s="53" t="s">
        <v>1099</v>
      </c>
      <c r="H207" s="148" t="s">
        <v>190</v>
      </c>
      <c r="I207" s="313">
        <v>28</v>
      </c>
      <c r="J207" s="318">
        <v>28</v>
      </c>
      <c r="K207" s="341">
        <v>28</v>
      </c>
      <c r="L207" s="148" t="s">
        <v>1100</v>
      </c>
      <c r="M207" s="166">
        <v>2007</v>
      </c>
      <c r="N207" s="877">
        <v>39265</v>
      </c>
      <c r="O207" s="206" t="s">
        <v>1101</v>
      </c>
      <c r="P207" s="27" t="s">
        <v>37</v>
      </c>
      <c r="Q207" s="53"/>
      <c r="R207" s="198" t="s">
        <v>89</v>
      </c>
      <c r="S207" s="198" t="s">
        <v>35</v>
      </c>
      <c r="T207" s="148" t="s">
        <v>35</v>
      </c>
      <c r="U207" s="148" t="s">
        <v>35</v>
      </c>
      <c r="V207" s="148" t="s">
        <v>35</v>
      </c>
      <c r="W207" s="204" t="s">
        <v>66</v>
      </c>
      <c r="X207" s="27" t="s">
        <v>112</v>
      </c>
      <c r="Y207" s="27">
        <v>4715</v>
      </c>
      <c r="Z207" s="148" t="s">
        <v>1100</v>
      </c>
      <c r="AA207" s="166" t="s">
        <v>91</v>
      </c>
      <c r="AB207" s="166"/>
    </row>
    <row r="208" spans="1:28" ht="30" hidden="1" customHeight="1">
      <c r="A208" s="166">
        <f t="shared" si="3"/>
        <v>167</v>
      </c>
      <c r="B208" s="47" t="s">
        <v>1102</v>
      </c>
      <c r="C208" s="148" t="s">
        <v>1103</v>
      </c>
      <c r="D208" s="53" t="s">
        <v>440</v>
      </c>
      <c r="E208" s="197" t="s">
        <v>441</v>
      </c>
      <c r="F208" s="53" t="s">
        <v>164</v>
      </c>
      <c r="G208" s="53" t="s">
        <v>1104</v>
      </c>
      <c r="H208" s="148" t="s">
        <v>348</v>
      </c>
      <c r="I208" s="313">
        <v>254.8</v>
      </c>
      <c r="J208" s="318">
        <v>254.8</v>
      </c>
      <c r="K208" s="341">
        <v>254.8</v>
      </c>
      <c r="L208" s="148" t="s">
        <v>1105</v>
      </c>
      <c r="M208" s="166">
        <v>2007</v>
      </c>
      <c r="N208" s="877">
        <v>39324</v>
      </c>
      <c r="O208" s="206" t="s">
        <v>1106</v>
      </c>
      <c r="P208" s="27" t="s">
        <v>37</v>
      </c>
      <c r="Q208" s="53"/>
      <c r="R208" s="198" t="s">
        <v>89</v>
      </c>
      <c r="S208" s="198" t="s">
        <v>35</v>
      </c>
      <c r="T208" s="148" t="s">
        <v>35</v>
      </c>
      <c r="U208" s="148" t="s">
        <v>35</v>
      </c>
      <c r="V208" s="148" t="s">
        <v>35</v>
      </c>
      <c r="W208" s="204" t="s">
        <v>66</v>
      </c>
      <c r="X208" s="27" t="s">
        <v>112</v>
      </c>
      <c r="Y208" s="27">
        <v>5232</v>
      </c>
      <c r="Z208" s="148" t="s">
        <v>1105</v>
      </c>
      <c r="AA208" s="166" t="s">
        <v>91</v>
      </c>
      <c r="AB208" s="166"/>
    </row>
    <row r="209" spans="1:28" ht="30" hidden="1" customHeight="1">
      <c r="A209" s="166">
        <f t="shared" si="3"/>
        <v>168</v>
      </c>
      <c r="B209" s="45" t="s">
        <v>1107</v>
      </c>
      <c r="C209" s="148" t="s">
        <v>1108</v>
      </c>
      <c r="D209" s="148" t="s">
        <v>496</v>
      </c>
      <c r="E209" s="148" t="s">
        <v>497</v>
      </c>
      <c r="F209" s="148" t="s">
        <v>32</v>
      </c>
      <c r="G209" s="148" t="s">
        <v>1109</v>
      </c>
      <c r="H209" s="148" t="s">
        <v>32</v>
      </c>
      <c r="I209" s="313">
        <v>48.2</v>
      </c>
      <c r="J209" s="318">
        <v>48.2</v>
      </c>
      <c r="K209" s="341">
        <v>48.2</v>
      </c>
      <c r="L209" s="148" t="s">
        <v>1110</v>
      </c>
      <c r="M209" s="166">
        <v>2007</v>
      </c>
      <c r="N209" s="877">
        <v>39322</v>
      </c>
      <c r="O209" s="53" t="s">
        <v>1111</v>
      </c>
      <c r="P209" s="27" t="s">
        <v>37</v>
      </c>
      <c r="Q209" s="53"/>
      <c r="R209" s="190" t="s">
        <v>38</v>
      </c>
      <c r="S209" s="194" t="s">
        <v>39</v>
      </c>
      <c r="T209" s="195" t="s">
        <v>1112</v>
      </c>
      <c r="U209" s="195">
        <v>2010</v>
      </c>
      <c r="V209" s="196" t="s">
        <v>513</v>
      </c>
      <c r="W209" s="66" t="s">
        <v>66</v>
      </c>
      <c r="X209" s="27" t="s">
        <v>112</v>
      </c>
      <c r="Y209" s="27">
        <v>5415</v>
      </c>
      <c r="Z209" s="148" t="s">
        <v>1110</v>
      </c>
      <c r="AA209" s="239" t="s">
        <v>1112</v>
      </c>
      <c r="AB209" s="166"/>
    </row>
    <row r="210" spans="1:28" ht="30" hidden="1" customHeight="1">
      <c r="A210" s="166">
        <f t="shared" si="3"/>
        <v>169</v>
      </c>
      <c r="B210" s="45" t="s">
        <v>1113</v>
      </c>
      <c r="C210" s="148" t="s">
        <v>1114</v>
      </c>
      <c r="D210" s="148" t="s">
        <v>496</v>
      </c>
      <c r="E210" s="148" t="s">
        <v>497</v>
      </c>
      <c r="F210" s="148" t="s">
        <v>32</v>
      </c>
      <c r="G210" s="148" t="s">
        <v>72</v>
      </c>
      <c r="H210" s="148" t="s">
        <v>32</v>
      </c>
      <c r="I210" s="313">
        <v>43.4</v>
      </c>
      <c r="J210" s="318">
        <v>43.4</v>
      </c>
      <c r="K210" s="341">
        <v>43.4</v>
      </c>
      <c r="L210" s="148" t="s">
        <v>1115</v>
      </c>
      <c r="M210" s="166">
        <v>2007</v>
      </c>
      <c r="N210" s="877">
        <v>39342</v>
      </c>
      <c r="O210" s="53" t="s">
        <v>1116</v>
      </c>
      <c r="P210" s="27" t="s">
        <v>37</v>
      </c>
      <c r="Q210" s="53"/>
      <c r="R210" s="190" t="s">
        <v>38</v>
      </c>
      <c r="S210" s="194" t="s">
        <v>39</v>
      </c>
      <c r="T210" s="195" t="s">
        <v>1117</v>
      </c>
      <c r="U210" s="195">
        <v>2010</v>
      </c>
      <c r="V210" s="196" t="s">
        <v>513</v>
      </c>
      <c r="W210" s="66" t="s">
        <v>66</v>
      </c>
      <c r="X210" s="27" t="s">
        <v>112</v>
      </c>
      <c r="Y210" s="27">
        <v>5354</v>
      </c>
      <c r="Z210" s="148" t="s">
        <v>1115</v>
      </c>
      <c r="AA210" s="239" t="s">
        <v>1117</v>
      </c>
      <c r="AB210" s="900" t="s">
        <v>1118</v>
      </c>
    </row>
    <row r="211" spans="1:28" ht="25.5" hidden="1">
      <c r="A211" s="166">
        <f t="shared" si="3"/>
        <v>170</v>
      </c>
      <c r="B211" s="47" t="s">
        <v>1119</v>
      </c>
      <c r="C211" s="148" t="s">
        <v>1120</v>
      </c>
      <c r="D211" s="53" t="s">
        <v>440</v>
      </c>
      <c r="E211" s="148" t="s">
        <v>441</v>
      </c>
      <c r="F211" s="148" t="s">
        <v>32</v>
      </c>
      <c r="G211" s="148" t="s">
        <v>59</v>
      </c>
      <c r="H211" s="148" t="s">
        <v>32</v>
      </c>
      <c r="I211" s="313">
        <v>46.75</v>
      </c>
      <c r="J211" s="340">
        <v>0</v>
      </c>
      <c r="K211" s="341">
        <v>46.75</v>
      </c>
      <c r="L211" s="148" t="s">
        <v>1121</v>
      </c>
      <c r="M211" s="166">
        <v>2007</v>
      </c>
      <c r="N211" s="877">
        <v>39338</v>
      </c>
      <c r="O211" s="206" t="s">
        <v>1122</v>
      </c>
      <c r="P211" s="27" t="s">
        <v>37</v>
      </c>
      <c r="Q211" s="53"/>
      <c r="R211" s="198" t="s">
        <v>89</v>
      </c>
      <c r="S211" s="198" t="s">
        <v>35</v>
      </c>
      <c r="T211" s="148" t="s">
        <v>35</v>
      </c>
      <c r="U211" s="148" t="s">
        <v>35</v>
      </c>
      <c r="V211" s="148" t="s">
        <v>35</v>
      </c>
      <c r="W211" s="204" t="s">
        <v>66</v>
      </c>
      <c r="X211" s="923" t="s">
        <v>937</v>
      </c>
      <c r="Y211" s="923">
        <v>5419</v>
      </c>
      <c r="Z211" s="148" t="s">
        <v>1121</v>
      </c>
      <c r="AA211" s="166" t="s">
        <v>91</v>
      </c>
      <c r="AB211" s="166"/>
    </row>
    <row r="212" spans="1:28" ht="30" hidden="1" customHeight="1">
      <c r="A212" s="166">
        <f t="shared" si="3"/>
        <v>171</v>
      </c>
      <c r="B212" s="47" t="s">
        <v>1128</v>
      </c>
      <c r="C212" s="148" t="s">
        <v>1129</v>
      </c>
      <c r="D212" s="148" t="s">
        <v>496</v>
      </c>
      <c r="E212" s="148" t="s">
        <v>497</v>
      </c>
      <c r="F212" s="148" t="s">
        <v>32</v>
      </c>
      <c r="G212" s="148" t="s">
        <v>1109</v>
      </c>
      <c r="H212" s="148" t="s">
        <v>32</v>
      </c>
      <c r="I212" s="313">
        <v>11.2</v>
      </c>
      <c r="J212" s="318">
        <v>11.2</v>
      </c>
      <c r="K212" s="341">
        <v>11.2</v>
      </c>
      <c r="L212" s="148" t="s">
        <v>1130</v>
      </c>
      <c r="M212" s="166">
        <v>2007</v>
      </c>
      <c r="N212" s="877">
        <v>39339</v>
      </c>
      <c r="O212" s="53" t="s">
        <v>1131</v>
      </c>
      <c r="P212" s="27" t="s">
        <v>37</v>
      </c>
      <c r="Q212" s="53"/>
      <c r="R212" s="190" t="s">
        <v>38</v>
      </c>
      <c r="S212" s="194" t="s">
        <v>39</v>
      </c>
      <c r="T212" s="195" t="s">
        <v>1112</v>
      </c>
      <c r="U212" s="195">
        <v>2010</v>
      </c>
      <c r="V212" s="196" t="s">
        <v>513</v>
      </c>
      <c r="W212" s="66" t="s">
        <v>66</v>
      </c>
      <c r="X212" s="27" t="s">
        <v>112</v>
      </c>
      <c r="Y212" s="27">
        <v>5395</v>
      </c>
      <c r="Z212" s="148" t="s">
        <v>1130</v>
      </c>
      <c r="AA212" s="239" t="s">
        <v>1112</v>
      </c>
      <c r="AB212" s="166"/>
    </row>
    <row r="213" spans="1:28" ht="30" hidden="1" customHeight="1">
      <c r="A213" s="166">
        <f t="shared" si="3"/>
        <v>172</v>
      </c>
      <c r="B213" s="45" t="s">
        <v>1132</v>
      </c>
      <c r="C213" s="148" t="s">
        <v>1133</v>
      </c>
      <c r="D213" s="53" t="s">
        <v>440</v>
      </c>
      <c r="E213" s="148" t="s">
        <v>441</v>
      </c>
      <c r="F213" s="148" t="s">
        <v>172</v>
      </c>
      <c r="G213" s="148" t="s">
        <v>821</v>
      </c>
      <c r="H213" s="148" t="s">
        <v>174</v>
      </c>
      <c r="I213" s="313">
        <v>53.95</v>
      </c>
      <c r="J213" s="318">
        <v>53.95</v>
      </c>
      <c r="K213" s="341">
        <v>53.95</v>
      </c>
      <c r="L213" s="148" t="s">
        <v>1134</v>
      </c>
      <c r="M213" s="166">
        <v>2007</v>
      </c>
      <c r="N213" s="877">
        <v>39339</v>
      </c>
      <c r="O213" s="206" t="s">
        <v>1135</v>
      </c>
      <c r="P213" s="27" t="s">
        <v>37</v>
      </c>
      <c r="Q213" s="53"/>
      <c r="R213" s="198" t="s">
        <v>89</v>
      </c>
      <c r="S213" s="198" t="s">
        <v>35</v>
      </c>
      <c r="T213" s="148" t="s">
        <v>35</v>
      </c>
      <c r="U213" s="148" t="s">
        <v>35</v>
      </c>
      <c r="V213" s="148" t="s">
        <v>35</v>
      </c>
      <c r="W213" s="204" t="s">
        <v>66</v>
      </c>
      <c r="X213" s="27" t="s">
        <v>112</v>
      </c>
      <c r="Y213" s="27">
        <v>4842</v>
      </c>
      <c r="Z213" s="148" t="s">
        <v>1134</v>
      </c>
      <c r="AA213" s="166" t="s">
        <v>91</v>
      </c>
      <c r="AB213" s="166"/>
    </row>
    <row r="214" spans="1:28" ht="30" hidden="1" customHeight="1">
      <c r="A214" s="166">
        <f t="shared" si="3"/>
        <v>173</v>
      </c>
      <c r="B214" s="47" t="s">
        <v>1136</v>
      </c>
      <c r="C214" s="53" t="s">
        <v>1137</v>
      </c>
      <c r="D214" s="53" t="s">
        <v>440</v>
      </c>
      <c r="E214" s="53" t="s">
        <v>441</v>
      </c>
      <c r="F214" s="148" t="s">
        <v>201</v>
      </c>
      <c r="G214" s="53" t="s">
        <v>1138</v>
      </c>
      <c r="H214" s="53" t="s">
        <v>203</v>
      </c>
      <c r="I214" s="313">
        <v>16.07</v>
      </c>
      <c r="J214" s="318">
        <v>16.07</v>
      </c>
      <c r="K214" s="341">
        <v>16.07</v>
      </c>
      <c r="L214" s="53" t="s">
        <v>1139</v>
      </c>
      <c r="M214" s="166">
        <v>2007</v>
      </c>
      <c r="N214" s="877">
        <v>39426</v>
      </c>
      <c r="O214" s="206" t="s">
        <v>1140</v>
      </c>
      <c r="P214" s="27" t="s">
        <v>37</v>
      </c>
      <c r="Q214" s="53"/>
      <c r="R214" s="198" t="s">
        <v>89</v>
      </c>
      <c r="S214" s="198" t="s">
        <v>35</v>
      </c>
      <c r="T214" s="148" t="s">
        <v>35</v>
      </c>
      <c r="U214" s="148" t="s">
        <v>35</v>
      </c>
      <c r="V214" s="148" t="s">
        <v>35</v>
      </c>
      <c r="W214" s="204" t="s">
        <v>66</v>
      </c>
      <c r="X214" s="27" t="s">
        <v>112</v>
      </c>
      <c r="Y214" s="27">
        <v>6622</v>
      </c>
      <c r="Z214" s="53" t="s">
        <v>1139</v>
      </c>
      <c r="AA214" s="166" t="s">
        <v>91</v>
      </c>
      <c r="AB214" s="166"/>
    </row>
    <row r="215" spans="1:28" ht="30" hidden="1" customHeight="1">
      <c r="A215" s="166">
        <f t="shared" si="3"/>
        <v>174</v>
      </c>
      <c r="B215" s="45" t="s">
        <v>1141</v>
      </c>
      <c r="C215" s="53" t="s">
        <v>1142</v>
      </c>
      <c r="D215" s="53" t="s">
        <v>440</v>
      </c>
      <c r="E215" s="53" t="s">
        <v>441</v>
      </c>
      <c r="F215" s="53" t="s">
        <v>155</v>
      </c>
      <c r="G215" s="53" t="s">
        <v>1143</v>
      </c>
      <c r="H215" s="53" t="s">
        <v>197</v>
      </c>
      <c r="I215" s="313">
        <v>45</v>
      </c>
      <c r="J215" s="318">
        <v>45</v>
      </c>
      <c r="K215" s="341">
        <v>45</v>
      </c>
      <c r="L215" s="53" t="s">
        <v>1144</v>
      </c>
      <c r="M215" s="166">
        <v>2007</v>
      </c>
      <c r="N215" s="877">
        <v>39422</v>
      </c>
      <c r="O215" s="206" t="s">
        <v>1145</v>
      </c>
      <c r="P215" s="27" t="s">
        <v>37</v>
      </c>
      <c r="Q215" s="53"/>
      <c r="R215" s="198" t="s">
        <v>89</v>
      </c>
      <c r="S215" s="198" t="s">
        <v>35</v>
      </c>
      <c r="T215" s="148" t="s">
        <v>35</v>
      </c>
      <c r="U215" s="148" t="s">
        <v>35</v>
      </c>
      <c r="V215" s="148" t="s">
        <v>35</v>
      </c>
      <c r="W215" s="204" t="s">
        <v>66</v>
      </c>
      <c r="X215" s="27" t="s">
        <v>112</v>
      </c>
      <c r="Y215" s="27">
        <v>6640</v>
      </c>
      <c r="Z215" s="53" t="s">
        <v>1144</v>
      </c>
      <c r="AA215" s="166" t="s">
        <v>91</v>
      </c>
      <c r="AB215" s="166"/>
    </row>
    <row r="216" spans="1:28" ht="30" hidden="1" customHeight="1">
      <c r="A216" s="166">
        <f t="shared" si="3"/>
        <v>175</v>
      </c>
      <c r="B216" s="47" t="s">
        <v>1146</v>
      </c>
      <c r="C216" s="53" t="s">
        <v>1147</v>
      </c>
      <c r="D216" s="148" t="s">
        <v>496</v>
      </c>
      <c r="E216" s="53" t="s">
        <v>497</v>
      </c>
      <c r="F216" s="53" t="s">
        <v>32</v>
      </c>
      <c r="G216" s="53" t="s">
        <v>1148</v>
      </c>
      <c r="H216" s="53" t="s">
        <v>32</v>
      </c>
      <c r="I216" s="313">
        <v>65.7</v>
      </c>
      <c r="J216" s="340">
        <v>0</v>
      </c>
      <c r="K216" s="820">
        <v>65.7</v>
      </c>
      <c r="L216" s="53" t="s">
        <v>1149</v>
      </c>
      <c r="M216" s="166">
        <v>2007</v>
      </c>
      <c r="N216" s="877">
        <v>39435</v>
      </c>
      <c r="O216" s="53" t="s">
        <v>1150</v>
      </c>
      <c r="P216" s="27" t="s">
        <v>37</v>
      </c>
      <c r="Q216" s="53"/>
      <c r="R216" s="190" t="s">
        <v>38</v>
      </c>
      <c r="S216" s="194" t="s">
        <v>39</v>
      </c>
      <c r="T216" s="195" t="s">
        <v>1151</v>
      </c>
      <c r="U216" s="195">
        <v>2010</v>
      </c>
      <c r="V216" s="196" t="s">
        <v>85</v>
      </c>
      <c r="W216" s="66" t="s">
        <v>66</v>
      </c>
      <c r="X216" s="27" t="s">
        <v>1152</v>
      </c>
      <c r="Y216" s="27">
        <v>6619</v>
      </c>
      <c r="Z216" s="53" t="s">
        <v>1149</v>
      </c>
      <c r="AA216" s="239" t="s">
        <v>1151</v>
      </c>
      <c r="AB216" s="166"/>
    </row>
    <row r="217" spans="1:28" ht="30" hidden="1" customHeight="1">
      <c r="A217" s="166">
        <f t="shared" si="3"/>
        <v>176</v>
      </c>
      <c r="B217" s="45" t="s">
        <v>1153</v>
      </c>
      <c r="C217" s="53" t="s">
        <v>1154</v>
      </c>
      <c r="D217" s="148" t="s">
        <v>496</v>
      </c>
      <c r="E217" s="53" t="s">
        <v>497</v>
      </c>
      <c r="F217" s="148" t="s">
        <v>201</v>
      </c>
      <c r="G217" s="53" t="s">
        <v>1155</v>
      </c>
      <c r="H217" s="53" t="s">
        <v>726</v>
      </c>
      <c r="I217" s="313">
        <v>32.909999999999997</v>
      </c>
      <c r="J217" s="318">
        <v>32.909999999999997</v>
      </c>
      <c r="K217" s="341">
        <v>32.909999999999997</v>
      </c>
      <c r="L217" s="53" t="s">
        <v>1156</v>
      </c>
      <c r="M217" s="166">
        <v>2007</v>
      </c>
      <c r="N217" s="877">
        <v>39450</v>
      </c>
      <c r="O217" s="53" t="s">
        <v>1157</v>
      </c>
      <c r="P217" s="27" t="s">
        <v>37</v>
      </c>
      <c r="Q217" s="53"/>
      <c r="R217" s="198" t="s">
        <v>89</v>
      </c>
      <c r="S217" s="198" t="s">
        <v>35</v>
      </c>
      <c r="T217" s="148" t="s">
        <v>35</v>
      </c>
      <c r="U217" s="148" t="s">
        <v>35</v>
      </c>
      <c r="V217" s="148" t="s">
        <v>35</v>
      </c>
      <c r="W217" s="204" t="s">
        <v>66</v>
      </c>
      <c r="X217" s="27" t="s">
        <v>112</v>
      </c>
      <c r="Y217" s="27">
        <v>7020</v>
      </c>
      <c r="Z217" s="53" t="s">
        <v>1156</v>
      </c>
      <c r="AA217" s="166" t="s">
        <v>91</v>
      </c>
      <c r="AB217" s="166"/>
    </row>
    <row r="218" spans="1:28" ht="25.5" hidden="1">
      <c r="A218" s="166">
        <f t="shared" si="3"/>
        <v>177</v>
      </c>
      <c r="B218" s="47" t="s">
        <v>1158</v>
      </c>
      <c r="C218" s="53" t="s">
        <v>1159</v>
      </c>
      <c r="D218" s="53" t="s">
        <v>440</v>
      </c>
      <c r="E218" s="53" t="s">
        <v>441</v>
      </c>
      <c r="F218" s="53" t="s">
        <v>172</v>
      </c>
      <c r="G218" s="53" t="s">
        <v>1160</v>
      </c>
      <c r="H218" s="53" t="s">
        <v>235</v>
      </c>
      <c r="I218" s="313">
        <v>100.69</v>
      </c>
      <c r="J218" s="318">
        <v>100.69</v>
      </c>
      <c r="K218" s="820">
        <v>100.69</v>
      </c>
      <c r="L218" s="53" t="s">
        <v>1161</v>
      </c>
      <c r="M218" s="166">
        <v>2007</v>
      </c>
      <c r="N218" s="877">
        <v>39435</v>
      </c>
      <c r="O218" s="206" t="s">
        <v>1162</v>
      </c>
      <c r="P218" s="27" t="s">
        <v>37</v>
      </c>
      <c r="Q218" s="53"/>
      <c r="R218" s="198" t="s">
        <v>89</v>
      </c>
      <c r="S218" s="198" t="s">
        <v>35</v>
      </c>
      <c r="T218" s="148" t="s">
        <v>35</v>
      </c>
      <c r="U218" s="148" t="s">
        <v>35</v>
      </c>
      <c r="V218" s="148" t="s">
        <v>35</v>
      </c>
      <c r="W218" s="204" t="s">
        <v>66</v>
      </c>
      <c r="X218" s="27" t="s">
        <v>112</v>
      </c>
      <c r="Y218" s="27">
        <v>5348</v>
      </c>
      <c r="Z218" s="53" t="s">
        <v>1161</v>
      </c>
      <c r="AA218" s="166" t="s">
        <v>91</v>
      </c>
      <c r="AB218" s="166"/>
    </row>
    <row r="219" spans="1:28" ht="30" hidden="1" customHeight="1">
      <c r="A219" s="166">
        <f t="shared" si="3"/>
        <v>178</v>
      </c>
      <c r="B219" s="45" t="s">
        <v>1163</v>
      </c>
      <c r="C219" s="53" t="s">
        <v>1164</v>
      </c>
      <c r="D219" s="53" t="s">
        <v>440</v>
      </c>
      <c r="E219" s="53" t="s">
        <v>441</v>
      </c>
      <c r="F219" s="53" t="s">
        <v>164</v>
      </c>
      <c r="G219" s="53" t="s">
        <v>274</v>
      </c>
      <c r="H219" s="53" t="s">
        <v>165</v>
      </c>
      <c r="I219" s="313">
        <v>294</v>
      </c>
      <c r="J219" s="318">
        <v>294</v>
      </c>
      <c r="K219" s="341">
        <v>294</v>
      </c>
      <c r="L219" s="53" t="s">
        <v>1165</v>
      </c>
      <c r="M219" s="166">
        <v>2007</v>
      </c>
      <c r="N219" s="877">
        <v>39436</v>
      </c>
      <c r="O219" s="206" t="s">
        <v>1166</v>
      </c>
      <c r="P219" s="27" t="s">
        <v>37</v>
      </c>
      <c r="Q219" s="53"/>
      <c r="R219" s="198" t="s">
        <v>89</v>
      </c>
      <c r="S219" s="198" t="s">
        <v>35</v>
      </c>
      <c r="T219" s="148" t="s">
        <v>35</v>
      </c>
      <c r="U219" s="148" t="s">
        <v>35</v>
      </c>
      <c r="V219" s="148" t="s">
        <v>35</v>
      </c>
      <c r="W219" s="204" t="s">
        <v>66</v>
      </c>
      <c r="X219" s="27" t="s">
        <v>112</v>
      </c>
      <c r="Y219" s="27">
        <v>5388</v>
      </c>
      <c r="Z219" s="53" t="s">
        <v>1165</v>
      </c>
      <c r="AA219" s="166" t="s">
        <v>91</v>
      </c>
      <c r="AB219" s="166"/>
    </row>
    <row r="220" spans="1:28" ht="30" hidden="1" customHeight="1">
      <c r="A220" s="166">
        <f t="shared" si="3"/>
        <v>179</v>
      </c>
      <c r="B220" s="47" t="s">
        <v>1167</v>
      </c>
      <c r="C220" s="934" t="s">
        <v>1168</v>
      </c>
      <c r="D220" s="148" t="s">
        <v>496</v>
      </c>
      <c r="E220" s="53" t="s">
        <v>497</v>
      </c>
      <c r="F220" s="53" t="s">
        <v>32</v>
      </c>
      <c r="G220" s="53" t="s">
        <v>1109</v>
      </c>
      <c r="H220" s="53" t="s">
        <v>32</v>
      </c>
      <c r="I220" s="313">
        <v>148.30000000000001</v>
      </c>
      <c r="J220" s="318">
        <v>148.30000000000001</v>
      </c>
      <c r="K220" s="820">
        <v>148.30000000000001</v>
      </c>
      <c r="L220" s="53" t="s">
        <v>1169</v>
      </c>
      <c r="M220" s="166">
        <v>2007</v>
      </c>
      <c r="N220" s="877">
        <v>39419</v>
      </c>
      <c r="O220" s="53" t="s">
        <v>1131</v>
      </c>
      <c r="P220" s="27" t="s">
        <v>37</v>
      </c>
      <c r="Q220" s="53"/>
      <c r="R220" s="190" t="s">
        <v>38</v>
      </c>
      <c r="S220" s="194" t="s">
        <v>39</v>
      </c>
      <c r="T220" s="195" t="s">
        <v>1112</v>
      </c>
      <c r="U220" s="195">
        <v>2010</v>
      </c>
      <c r="V220" s="196" t="s">
        <v>513</v>
      </c>
      <c r="W220" s="66" t="s">
        <v>66</v>
      </c>
      <c r="X220" s="27" t="s">
        <v>112</v>
      </c>
      <c r="Y220" s="27">
        <v>6613</v>
      </c>
      <c r="Z220" s="53" t="s">
        <v>1169</v>
      </c>
      <c r="AA220" s="239" t="s">
        <v>1112</v>
      </c>
      <c r="AB220" s="166"/>
    </row>
    <row r="221" spans="1:28" ht="30" hidden="1" customHeight="1">
      <c r="A221" s="166">
        <f t="shared" si="3"/>
        <v>180</v>
      </c>
      <c r="B221" s="45" t="s">
        <v>1170</v>
      </c>
      <c r="C221" s="934" t="s">
        <v>1171</v>
      </c>
      <c r="D221" s="148" t="s">
        <v>496</v>
      </c>
      <c r="E221" s="53" t="s">
        <v>497</v>
      </c>
      <c r="F221" s="148" t="s">
        <v>201</v>
      </c>
      <c r="G221" s="168" t="s">
        <v>1172</v>
      </c>
      <c r="H221" s="53" t="s">
        <v>203</v>
      </c>
      <c r="I221" s="313">
        <v>45.13</v>
      </c>
      <c r="J221" s="318">
        <v>45.13</v>
      </c>
      <c r="K221" s="820">
        <v>45.13</v>
      </c>
      <c r="L221" s="53" t="s">
        <v>1173</v>
      </c>
      <c r="M221" s="166">
        <v>2007</v>
      </c>
      <c r="N221" s="877">
        <v>39407</v>
      </c>
      <c r="O221" s="53" t="s">
        <v>1174</v>
      </c>
      <c r="P221" s="27" t="s">
        <v>37</v>
      </c>
      <c r="Q221" s="53"/>
      <c r="R221" s="198" t="s">
        <v>89</v>
      </c>
      <c r="S221" s="198" t="s">
        <v>35</v>
      </c>
      <c r="T221" s="148" t="s">
        <v>35</v>
      </c>
      <c r="U221" s="148" t="s">
        <v>35</v>
      </c>
      <c r="V221" s="148" t="s">
        <v>35</v>
      </c>
      <c r="W221" s="204" t="s">
        <v>66</v>
      </c>
      <c r="X221" s="27" t="s">
        <v>112</v>
      </c>
      <c r="Y221" s="27">
        <v>5579</v>
      </c>
      <c r="Z221" s="53" t="s">
        <v>1173</v>
      </c>
      <c r="AA221" s="166" t="s">
        <v>91</v>
      </c>
      <c r="AB221" s="166"/>
    </row>
    <row r="222" spans="1:28" ht="30" hidden="1" customHeight="1">
      <c r="A222" s="166">
        <f t="shared" si="3"/>
        <v>181</v>
      </c>
      <c r="B222" s="47" t="s">
        <v>1175</v>
      </c>
      <c r="C222" s="935" t="s">
        <v>1176</v>
      </c>
      <c r="D222" s="148" t="s">
        <v>496</v>
      </c>
      <c r="E222" s="53" t="s">
        <v>497</v>
      </c>
      <c r="F222" s="148" t="s">
        <v>201</v>
      </c>
      <c r="G222" s="53" t="s">
        <v>725</v>
      </c>
      <c r="H222" s="53" t="s">
        <v>726</v>
      </c>
      <c r="I222" s="313">
        <v>135</v>
      </c>
      <c r="J222" s="318">
        <v>135</v>
      </c>
      <c r="K222" s="820">
        <v>135</v>
      </c>
      <c r="L222" s="53" t="s">
        <v>1177</v>
      </c>
      <c r="M222" s="166">
        <v>2007</v>
      </c>
      <c r="N222" s="877">
        <v>39406</v>
      </c>
      <c r="O222" s="53" t="s">
        <v>1178</v>
      </c>
      <c r="P222" s="27" t="s">
        <v>37</v>
      </c>
      <c r="Q222" s="53"/>
      <c r="R222" s="198" t="s">
        <v>89</v>
      </c>
      <c r="S222" s="198" t="s">
        <v>35</v>
      </c>
      <c r="T222" s="148" t="s">
        <v>35</v>
      </c>
      <c r="U222" s="148" t="s">
        <v>35</v>
      </c>
      <c r="V222" s="148" t="s">
        <v>35</v>
      </c>
      <c r="W222" s="204" t="s">
        <v>66</v>
      </c>
      <c r="X222" s="27" t="s">
        <v>112</v>
      </c>
      <c r="Y222" s="27">
        <v>6675</v>
      </c>
      <c r="Z222" s="53" t="s">
        <v>1177</v>
      </c>
      <c r="AA222" s="166" t="s">
        <v>91</v>
      </c>
      <c r="AB222" s="166"/>
    </row>
    <row r="223" spans="1:28" ht="30" hidden="1" customHeight="1">
      <c r="A223" s="166">
        <f t="shared" si="3"/>
        <v>182</v>
      </c>
      <c r="B223" s="45" t="s">
        <v>1179</v>
      </c>
      <c r="C223" s="935" t="s">
        <v>1180</v>
      </c>
      <c r="D223" s="53" t="s">
        <v>440</v>
      </c>
      <c r="E223" s="53" t="s">
        <v>441</v>
      </c>
      <c r="F223" s="148" t="s">
        <v>201</v>
      </c>
      <c r="G223" s="53" t="s">
        <v>1181</v>
      </c>
      <c r="H223" s="53" t="s">
        <v>203</v>
      </c>
      <c r="I223" s="313">
        <v>156.09</v>
      </c>
      <c r="J223" s="318">
        <v>156.09</v>
      </c>
      <c r="K223" s="820">
        <v>156.09</v>
      </c>
      <c r="L223" s="53" t="s">
        <v>1182</v>
      </c>
      <c r="M223" s="166">
        <v>2007</v>
      </c>
      <c r="N223" s="877">
        <v>39380</v>
      </c>
      <c r="O223" s="206" t="s">
        <v>1183</v>
      </c>
      <c r="P223" s="27" t="s">
        <v>37</v>
      </c>
      <c r="Q223" s="53"/>
      <c r="R223" s="198" t="s">
        <v>89</v>
      </c>
      <c r="S223" s="198" t="s">
        <v>35</v>
      </c>
      <c r="T223" s="148" t="s">
        <v>35</v>
      </c>
      <c r="U223" s="148" t="s">
        <v>35</v>
      </c>
      <c r="V223" s="148" t="s">
        <v>35</v>
      </c>
      <c r="W223" s="204" t="s">
        <v>66</v>
      </c>
      <c r="X223" s="27" t="s">
        <v>112</v>
      </c>
      <c r="Y223" s="27">
        <v>5421</v>
      </c>
      <c r="Z223" s="53" t="s">
        <v>1182</v>
      </c>
      <c r="AA223" s="166" t="s">
        <v>91</v>
      </c>
      <c r="AB223" s="166"/>
    </row>
    <row r="224" spans="1:28" ht="30" hidden="1" customHeight="1">
      <c r="A224" s="166">
        <f t="shared" si="3"/>
        <v>183</v>
      </c>
      <c r="B224" s="47" t="s">
        <v>1184</v>
      </c>
      <c r="C224" s="934" t="s">
        <v>1185</v>
      </c>
      <c r="D224" s="53" t="s">
        <v>440</v>
      </c>
      <c r="E224" s="197" t="s">
        <v>441</v>
      </c>
      <c r="F224" s="148" t="s">
        <v>201</v>
      </c>
      <c r="G224" s="53" t="s">
        <v>1186</v>
      </c>
      <c r="H224" s="53" t="s">
        <v>726</v>
      </c>
      <c r="I224" s="313">
        <v>202.5</v>
      </c>
      <c r="J224" s="318">
        <v>202.5</v>
      </c>
      <c r="K224" s="341">
        <v>202.5</v>
      </c>
      <c r="L224" s="148" t="s">
        <v>1187</v>
      </c>
      <c r="M224" s="166">
        <v>2007</v>
      </c>
      <c r="N224" s="877">
        <v>39489</v>
      </c>
      <c r="O224" s="206" t="s">
        <v>1188</v>
      </c>
      <c r="P224" s="27" t="s">
        <v>37</v>
      </c>
      <c r="Q224" s="53"/>
      <c r="R224" s="198" t="s">
        <v>89</v>
      </c>
      <c r="S224" s="198" t="s">
        <v>35</v>
      </c>
      <c r="T224" s="148" t="s">
        <v>35</v>
      </c>
      <c r="U224" s="148" t="s">
        <v>35</v>
      </c>
      <c r="V224" s="148" t="s">
        <v>35</v>
      </c>
      <c r="W224" s="204" t="s">
        <v>66</v>
      </c>
      <c r="X224" s="27" t="s">
        <v>112</v>
      </c>
      <c r="Y224" s="27">
        <v>6639</v>
      </c>
      <c r="Z224" s="148" t="s">
        <v>1187</v>
      </c>
      <c r="AA224" s="166" t="s">
        <v>91</v>
      </c>
      <c r="AB224" s="166"/>
    </row>
    <row r="225" spans="1:28" ht="30" hidden="1" customHeight="1">
      <c r="A225" s="166">
        <f t="shared" si="3"/>
        <v>184</v>
      </c>
      <c r="B225" s="45" t="s">
        <v>1189</v>
      </c>
      <c r="C225" s="53" t="s">
        <v>1190</v>
      </c>
      <c r="D225" s="53" t="s">
        <v>440</v>
      </c>
      <c r="E225" s="53" t="s">
        <v>441</v>
      </c>
      <c r="F225" s="53" t="s">
        <v>155</v>
      </c>
      <c r="G225" s="53" t="s">
        <v>374</v>
      </c>
      <c r="H225" s="53" t="s">
        <v>197</v>
      </c>
      <c r="I225" s="313">
        <v>39</v>
      </c>
      <c r="J225" s="318">
        <v>39</v>
      </c>
      <c r="K225" s="341">
        <v>39</v>
      </c>
      <c r="L225" s="53" t="s">
        <v>1191</v>
      </c>
      <c r="M225" s="166">
        <v>2008</v>
      </c>
      <c r="N225" s="878">
        <v>39505</v>
      </c>
      <c r="O225" s="206" t="s">
        <v>1192</v>
      </c>
      <c r="P225" s="27" t="s">
        <v>37</v>
      </c>
      <c r="Q225" s="53"/>
      <c r="R225" s="198" t="s">
        <v>89</v>
      </c>
      <c r="S225" s="198" t="s">
        <v>35</v>
      </c>
      <c r="T225" s="148" t="s">
        <v>35</v>
      </c>
      <c r="U225" s="148" t="s">
        <v>35</v>
      </c>
      <c r="V225" s="148" t="s">
        <v>35</v>
      </c>
      <c r="W225" s="204" t="s">
        <v>66</v>
      </c>
      <c r="X225" s="27" t="s">
        <v>112</v>
      </c>
      <c r="Y225" s="27">
        <v>6638</v>
      </c>
      <c r="Z225" s="53" t="s">
        <v>1191</v>
      </c>
      <c r="AA225" s="166" t="s">
        <v>91</v>
      </c>
      <c r="AB225" s="166"/>
    </row>
    <row r="226" spans="1:28" ht="30" hidden="1" customHeight="1">
      <c r="A226" s="166">
        <f t="shared" si="3"/>
        <v>185</v>
      </c>
      <c r="B226" s="47" t="s">
        <v>1193</v>
      </c>
      <c r="C226" s="202" t="s">
        <v>1194</v>
      </c>
      <c r="D226" s="148" t="s">
        <v>496</v>
      </c>
      <c r="E226" s="166" t="s">
        <v>497</v>
      </c>
      <c r="F226" s="53" t="s">
        <v>164</v>
      </c>
      <c r="G226" s="148" t="s">
        <v>1195</v>
      </c>
      <c r="H226" s="53" t="s">
        <v>165</v>
      </c>
      <c r="I226" s="313">
        <v>1158.19</v>
      </c>
      <c r="J226" s="318">
        <v>1158.19</v>
      </c>
      <c r="K226" s="820">
        <v>1158.19</v>
      </c>
      <c r="L226" s="148" t="s">
        <v>1196</v>
      </c>
      <c r="M226" s="166">
        <v>2008</v>
      </c>
      <c r="N226" s="878">
        <v>39521</v>
      </c>
      <c r="O226" s="53" t="s">
        <v>1197</v>
      </c>
      <c r="P226" s="27" t="s">
        <v>37</v>
      </c>
      <c r="Q226" s="53"/>
      <c r="R226" s="190" t="s">
        <v>38</v>
      </c>
      <c r="S226" s="194" t="s">
        <v>39</v>
      </c>
      <c r="T226" s="195" t="s">
        <v>1198</v>
      </c>
      <c r="U226" s="195">
        <v>2008</v>
      </c>
      <c r="V226" s="196" t="s">
        <v>121</v>
      </c>
      <c r="W226" s="66" t="s">
        <v>66</v>
      </c>
      <c r="X226" s="27" t="s">
        <v>112</v>
      </c>
      <c r="Y226" s="27">
        <v>4625</v>
      </c>
      <c r="Z226" s="148" t="s">
        <v>1196</v>
      </c>
      <c r="AA226" s="239" t="s">
        <v>1198</v>
      </c>
      <c r="AB226" s="148" t="s">
        <v>1199</v>
      </c>
    </row>
    <row r="227" spans="1:28" ht="30" hidden="1" customHeight="1">
      <c r="A227" s="166">
        <f t="shared" si="3"/>
        <v>186</v>
      </c>
      <c r="B227" s="45" t="s">
        <v>1200</v>
      </c>
      <c r="C227" s="53" t="s">
        <v>1201</v>
      </c>
      <c r="D227" s="53" t="s">
        <v>440</v>
      </c>
      <c r="E227" s="53" t="s">
        <v>441</v>
      </c>
      <c r="F227" s="53" t="s">
        <v>180</v>
      </c>
      <c r="G227" s="53" t="s">
        <v>683</v>
      </c>
      <c r="H227" s="53" t="s">
        <v>394</v>
      </c>
      <c r="I227" s="313">
        <v>8.3800000000000008</v>
      </c>
      <c r="J227" s="318">
        <v>8.3800000000000008</v>
      </c>
      <c r="K227" s="341">
        <v>8.3800000000000008</v>
      </c>
      <c r="L227" s="53" t="s">
        <v>1202</v>
      </c>
      <c r="M227" s="166">
        <v>2008</v>
      </c>
      <c r="N227" s="877">
        <v>39489</v>
      </c>
      <c r="O227" s="206" t="s">
        <v>1203</v>
      </c>
      <c r="P227" s="27" t="s">
        <v>37</v>
      </c>
      <c r="Q227" s="53"/>
      <c r="R227" s="198" t="s">
        <v>89</v>
      </c>
      <c r="S227" s="198" t="s">
        <v>35</v>
      </c>
      <c r="T227" s="148" t="s">
        <v>35</v>
      </c>
      <c r="U227" s="148" t="s">
        <v>35</v>
      </c>
      <c r="V227" s="148" t="s">
        <v>35</v>
      </c>
      <c r="W227" s="204" t="s">
        <v>66</v>
      </c>
      <c r="X227" s="27" t="s">
        <v>112</v>
      </c>
      <c r="Y227" s="27"/>
      <c r="Z227" s="53" t="s">
        <v>1202</v>
      </c>
      <c r="AA227" s="166" t="s">
        <v>91</v>
      </c>
      <c r="AB227" s="166"/>
    </row>
    <row r="228" spans="1:28" ht="30" hidden="1" customHeight="1">
      <c r="A228" s="166">
        <f t="shared" si="3"/>
        <v>187</v>
      </c>
      <c r="B228" s="47" t="s">
        <v>1204</v>
      </c>
      <c r="C228" s="53" t="s">
        <v>1205</v>
      </c>
      <c r="D228" s="53" t="s">
        <v>440</v>
      </c>
      <c r="E228" s="53" t="s">
        <v>441</v>
      </c>
      <c r="F228" s="148" t="s">
        <v>201</v>
      </c>
      <c r="G228" s="53" t="s">
        <v>1003</v>
      </c>
      <c r="H228" s="53" t="s">
        <v>726</v>
      </c>
      <c r="I228" s="313">
        <v>1100</v>
      </c>
      <c r="J228" s="318">
        <v>1100</v>
      </c>
      <c r="K228" s="341">
        <v>1100</v>
      </c>
      <c r="L228" s="53" t="s">
        <v>1206</v>
      </c>
      <c r="M228" s="166">
        <v>2008</v>
      </c>
      <c r="N228" s="878">
        <v>39479</v>
      </c>
      <c r="O228" s="206" t="s">
        <v>1207</v>
      </c>
      <c r="P228" s="27" t="s">
        <v>37</v>
      </c>
      <c r="Q228" s="53"/>
      <c r="R228" s="198" t="s">
        <v>89</v>
      </c>
      <c r="S228" s="198" t="s">
        <v>35</v>
      </c>
      <c r="T228" s="148" t="s">
        <v>35</v>
      </c>
      <c r="U228" s="148" t="s">
        <v>35</v>
      </c>
      <c r="V228" s="148" t="s">
        <v>35</v>
      </c>
      <c r="W228" s="204" t="s">
        <v>66</v>
      </c>
      <c r="X228" s="27" t="s">
        <v>112</v>
      </c>
      <c r="Y228" s="27">
        <v>6677</v>
      </c>
      <c r="Z228" s="53" t="s">
        <v>1206</v>
      </c>
      <c r="AA228" s="166" t="s">
        <v>91</v>
      </c>
      <c r="AB228" s="166"/>
    </row>
    <row r="229" spans="1:28" ht="30" hidden="1" customHeight="1">
      <c r="A229" s="166">
        <f t="shared" si="3"/>
        <v>188</v>
      </c>
      <c r="B229" s="45" t="s">
        <v>1208</v>
      </c>
      <c r="C229" s="53" t="s">
        <v>1209</v>
      </c>
      <c r="D229" s="148" t="s">
        <v>440</v>
      </c>
      <c r="E229" s="166" t="s">
        <v>441</v>
      </c>
      <c r="F229" s="53" t="s">
        <v>188</v>
      </c>
      <c r="G229" s="148" t="s">
        <v>592</v>
      </c>
      <c r="H229" s="53" t="s">
        <v>190</v>
      </c>
      <c r="I229" s="313">
        <v>216</v>
      </c>
      <c r="J229" s="318">
        <v>216</v>
      </c>
      <c r="K229" s="820">
        <v>216</v>
      </c>
      <c r="L229" s="148" t="s">
        <v>1210</v>
      </c>
      <c r="M229" s="166">
        <v>2008</v>
      </c>
      <c r="N229" s="878">
        <v>39541</v>
      </c>
      <c r="O229" s="206" t="s">
        <v>1211</v>
      </c>
      <c r="P229" s="27" t="s">
        <v>37</v>
      </c>
      <c r="Q229" s="53"/>
      <c r="R229" s="198" t="s">
        <v>89</v>
      </c>
      <c r="S229" s="198" t="s">
        <v>35</v>
      </c>
      <c r="T229" s="148" t="s">
        <v>35</v>
      </c>
      <c r="U229" s="148" t="s">
        <v>35</v>
      </c>
      <c r="V229" s="148" t="s">
        <v>35</v>
      </c>
      <c r="W229" s="204" t="s">
        <v>66</v>
      </c>
      <c r="X229" s="27" t="s">
        <v>112</v>
      </c>
      <c r="Y229" s="27">
        <v>6636</v>
      </c>
      <c r="Z229" s="148" t="s">
        <v>1210</v>
      </c>
      <c r="AA229" s="166" t="s">
        <v>91</v>
      </c>
      <c r="AB229" s="166"/>
    </row>
    <row r="230" spans="1:28" ht="25.5" hidden="1" customHeight="1">
      <c r="A230" s="166">
        <f t="shared" si="3"/>
        <v>189</v>
      </c>
      <c r="B230" s="47" t="s">
        <v>1212</v>
      </c>
      <c r="C230" s="53" t="s">
        <v>1213</v>
      </c>
      <c r="D230" s="148" t="s">
        <v>496</v>
      </c>
      <c r="E230" s="166" t="s">
        <v>497</v>
      </c>
      <c r="F230" s="148" t="s">
        <v>201</v>
      </c>
      <c r="G230" s="148" t="s">
        <v>1186</v>
      </c>
      <c r="H230" s="53" t="s">
        <v>726</v>
      </c>
      <c r="I230" s="313">
        <v>126.47</v>
      </c>
      <c r="J230" s="318">
        <v>126.47</v>
      </c>
      <c r="K230" s="820">
        <v>126.47</v>
      </c>
      <c r="L230" s="148" t="s">
        <v>1214</v>
      </c>
      <c r="M230" s="166">
        <v>2008</v>
      </c>
      <c r="N230" s="878">
        <v>39598</v>
      </c>
      <c r="O230" s="53" t="s">
        <v>1215</v>
      </c>
      <c r="P230" s="27" t="s">
        <v>37</v>
      </c>
      <c r="Q230" s="53"/>
      <c r="R230" s="198" t="s">
        <v>89</v>
      </c>
      <c r="S230" s="198" t="s">
        <v>35</v>
      </c>
      <c r="T230" s="148" t="s">
        <v>35</v>
      </c>
      <c r="U230" s="148" t="s">
        <v>35</v>
      </c>
      <c r="V230" s="148" t="s">
        <v>35</v>
      </c>
      <c r="W230" s="204" t="s">
        <v>66</v>
      </c>
      <c r="X230" s="27" t="s">
        <v>112</v>
      </c>
      <c r="Y230" s="27">
        <v>7258</v>
      </c>
      <c r="Z230" s="148" t="s">
        <v>1214</v>
      </c>
      <c r="AA230" s="166" t="s">
        <v>91</v>
      </c>
      <c r="AB230" s="166"/>
    </row>
    <row r="231" spans="1:28" ht="30" hidden="1" customHeight="1">
      <c r="A231" s="166">
        <f t="shared" si="3"/>
        <v>190</v>
      </c>
      <c r="B231" s="45" t="s">
        <v>1216</v>
      </c>
      <c r="C231" s="53" t="s">
        <v>1217</v>
      </c>
      <c r="D231" s="148" t="s">
        <v>440</v>
      </c>
      <c r="E231" s="166" t="s">
        <v>441</v>
      </c>
      <c r="F231" s="53" t="s">
        <v>210</v>
      </c>
      <c r="G231" s="148" t="s">
        <v>457</v>
      </c>
      <c r="H231" s="53" t="s">
        <v>212</v>
      </c>
      <c r="I231" s="313">
        <v>90</v>
      </c>
      <c r="J231" s="340">
        <v>0</v>
      </c>
      <c r="K231" s="820">
        <v>90</v>
      </c>
      <c r="L231" s="148" t="s">
        <v>1218</v>
      </c>
      <c r="M231" s="166">
        <v>2008</v>
      </c>
      <c r="N231" s="878">
        <v>39686</v>
      </c>
      <c r="O231" s="206" t="s">
        <v>931</v>
      </c>
      <c r="P231" s="27" t="s">
        <v>37</v>
      </c>
      <c r="Q231" s="67"/>
      <c r="R231" s="198" t="s">
        <v>89</v>
      </c>
      <c r="S231" s="198" t="s">
        <v>35</v>
      </c>
      <c r="T231" s="148" t="s">
        <v>35</v>
      </c>
      <c r="U231" s="148" t="s">
        <v>35</v>
      </c>
      <c r="V231" s="148" t="s">
        <v>35</v>
      </c>
      <c r="W231" s="204" t="s">
        <v>66</v>
      </c>
      <c r="X231" s="137" t="s">
        <v>176</v>
      </c>
      <c r="Y231" s="137">
        <v>7484</v>
      </c>
      <c r="Z231" s="148" t="s">
        <v>1218</v>
      </c>
      <c r="AA231" s="166" t="s">
        <v>91</v>
      </c>
      <c r="AB231" s="166"/>
    </row>
    <row r="232" spans="1:28" ht="30" hidden="1" customHeight="1">
      <c r="A232" s="166">
        <f t="shared" si="3"/>
        <v>191</v>
      </c>
      <c r="B232" s="47" t="s">
        <v>1219</v>
      </c>
      <c r="C232" s="53" t="s">
        <v>1220</v>
      </c>
      <c r="D232" s="148" t="s">
        <v>440</v>
      </c>
      <c r="E232" s="166" t="s">
        <v>441</v>
      </c>
      <c r="F232" s="53" t="s">
        <v>172</v>
      </c>
      <c r="G232" s="148" t="s">
        <v>1160</v>
      </c>
      <c r="H232" s="53" t="s">
        <v>235</v>
      </c>
      <c r="I232" s="313">
        <v>308</v>
      </c>
      <c r="J232" s="340">
        <v>0</v>
      </c>
      <c r="K232" s="820">
        <v>308</v>
      </c>
      <c r="L232" s="148" t="s">
        <v>1221</v>
      </c>
      <c r="M232" s="166">
        <v>2008</v>
      </c>
      <c r="N232" s="878">
        <v>39686</v>
      </c>
      <c r="O232" s="206" t="s">
        <v>931</v>
      </c>
      <c r="P232" s="27" t="s">
        <v>37</v>
      </c>
      <c r="Q232" s="67"/>
      <c r="R232" s="198" t="s">
        <v>89</v>
      </c>
      <c r="S232" s="198" t="s">
        <v>35</v>
      </c>
      <c r="T232" s="148" t="s">
        <v>35</v>
      </c>
      <c r="U232" s="148" t="s">
        <v>35</v>
      </c>
      <c r="V232" s="148" t="s">
        <v>35</v>
      </c>
      <c r="W232" s="204" t="s">
        <v>66</v>
      </c>
      <c r="X232" s="137" t="s">
        <v>176</v>
      </c>
      <c r="Y232" s="137">
        <v>7313</v>
      </c>
      <c r="Z232" s="148" t="s">
        <v>1221</v>
      </c>
      <c r="AA232" s="166" t="s">
        <v>91</v>
      </c>
      <c r="AB232" s="166"/>
    </row>
    <row r="233" spans="1:28" ht="30" hidden="1" customHeight="1">
      <c r="A233" s="166">
        <f t="shared" si="3"/>
        <v>192</v>
      </c>
      <c r="B233" s="45" t="s">
        <v>1222</v>
      </c>
      <c r="C233" s="53" t="s">
        <v>1223</v>
      </c>
      <c r="D233" s="148" t="s">
        <v>440</v>
      </c>
      <c r="E233" s="166" t="s">
        <v>441</v>
      </c>
      <c r="F233" s="53" t="s">
        <v>210</v>
      </c>
      <c r="G233" s="148" t="s">
        <v>457</v>
      </c>
      <c r="H233" s="53" t="s">
        <v>212</v>
      </c>
      <c r="I233" s="313">
        <v>90</v>
      </c>
      <c r="J233" s="340">
        <v>0</v>
      </c>
      <c r="K233" s="820">
        <v>90</v>
      </c>
      <c r="L233" s="148" t="s">
        <v>1224</v>
      </c>
      <c r="M233" s="166">
        <v>2008</v>
      </c>
      <c r="N233" s="878">
        <v>39686</v>
      </c>
      <c r="O233" s="206" t="s">
        <v>931</v>
      </c>
      <c r="P233" s="27" t="s">
        <v>37</v>
      </c>
      <c r="Q233" s="67"/>
      <c r="R233" s="198" t="s">
        <v>89</v>
      </c>
      <c r="S233" s="198" t="s">
        <v>35</v>
      </c>
      <c r="T233" s="148" t="s">
        <v>35</v>
      </c>
      <c r="U233" s="148" t="s">
        <v>35</v>
      </c>
      <c r="V233" s="148" t="s">
        <v>35</v>
      </c>
      <c r="W233" s="204" t="s">
        <v>66</v>
      </c>
      <c r="X233" s="137" t="s">
        <v>176</v>
      </c>
      <c r="Y233" s="137">
        <v>7316</v>
      </c>
      <c r="Z233" s="148" t="s">
        <v>1224</v>
      </c>
      <c r="AA233" s="166" t="s">
        <v>91</v>
      </c>
      <c r="AB233" s="166"/>
    </row>
    <row r="234" spans="1:28" ht="30" hidden="1" customHeight="1">
      <c r="A234" s="166">
        <f t="shared" si="3"/>
        <v>193</v>
      </c>
      <c r="B234" s="47" t="s">
        <v>1225</v>
      </c>
      <c r="C234" s="53" t="s">
        <v>1226</v>
      </c>
      <c r="D234" s="148" t="s">
        <v>440</v>
      </c>
      <c r="E234" s="166" t="s">
        <v>441</v>
      </c>
      <c r="F234" s="53" t="s">
        <v>172</v>
      </c>
      <c r="G234" s="148" t="s">
        <v>173</v>
      </c>
      <c r="H234" s="53" t="s">
        <v>174</v>
      </c>
      <c r="I234" s="313">
        <v>90</v>
      </c>
      <c r="J234" s="340">
        <v>0</v>
      </c>
      <c r="K234" s="820">
        <v>90</v>
      </c>
      <c r="L234" s="148" t="s">
        <v>1227</v>
      </c>
      <c r="M234" s="166">
        <v>2008</v>
      </c>
      <c r="N234" s="878">
        <v>39686</v>
      </c>
      <c r="O234" s="206" t="s">
        <v>931</v>
      </c>
      <c r="P234" s="27" t="s">
        <v>37</v>
      </c>
      <c r="Q234" s="67"/>
      <c r="R234" s="198" t="s">
        <v>89</v>
      </c>
      <c r="S234" s="198" t="s">
        <v>35</v>
      </c>
      <c r="T234" s="148" t="s">
        <v>35</v>
      </c>
      <c r="U234" s="148" t="s">
        <v>35</v>
      </c>
      <c r="V234" s="148" t="s">
        <v>35</v>
      </c>
      <c r="W234" s="204" t="s">
        <v>66</v>
      </c>
      <c r="X234" s="137" t="s">
        <v>965</v>
      </c>
      <c r="Y234" s="137">
        <v>7312</v>
      </c>
      <c r="Z234" s="148" t="s">
        <v>1227</v>
      </c>
      <c r="AA234" s="166" t="s">
        <v>91</v>
      </c>
      <c r="AB234" s="166"/>
    </row>
    <row r="235" spans="1:28" ht="30" hidden="1" customHeight="1">
      <c r="A235" s="166">
        <f t="shared" si="3"/>
        <v>194</v>
      </c>
      <c r="B235" s="45" t="s">
        <v>1228</v>
      </c>
      <c r="C235" s="53" t="s">
        <v>1229</v>
      </c>
      <c r="D235" s="148" t="s">
        <v>440</v>
      </c>
      <c r="E235" s="166" t="s">
        <v>441</v>
      </c>
      <c r="F235" s="53" t="s">
        <v>210</v>
      </c>
      <c r="G235" s="148" t="s">
        <v>973</v>
      </c>
      <c r="H235" s="53" t="s">
        <v>212</v>
      </c>
      <c r="I235" s="313">
        <v>90</v>
      </c>
      <c r="J235" s="340">
        <v>0</v>
      </c>
      <c r="K235" s="820">
        <v>90</v>
      </c>
      <c r="L235" s="148" t="s">
        <v>1230</v>
      </c>
      <c r="M235" s="166">
        <v>2008</v>
      </c>
      <c r="N235" s="878">
        <v>39686</v>
      </c>
      <c r="O235" s="206" t="s">
        <v>931</v>
      </c>
      <c r="P235" s="27" t="s">
        <v>37</v>
      </c>
      <c r="Q235" s="67"/>
      <c r="R235" s="198" t="s">
        <v>89</v>
      </c>
      <c r="S235" s="198" t="s">
        <v>35</v>
      </c>
      <c r="T235" s="148" t="s">
        <v>35</v>
      </c>
      <c r="U235" s="148" t="s">
        <v>35</v>
      </c>
      <c r="V235" s="148" t="s">
        <v>35</v>
      </c>
      <c r="W235" s="204" t="s">
        <v>66</v>
      </c>
      <c r="X235" s="137" t="s">
        <v>965</v>
      </c>
      <c r="Y235" s="137">
        <v>7310</v>
      </c>
      <c r="Z235" s="148" t="s">
        <v>1230</v>
      </c>
      <c r="AA235" s="166" t="s">
        <v>91</v>
      </c>
      <c r="AB235" s="166"/>
    </row>
    <row r="236" spans="1:28" ht="30" hidden="1" customHeight="1">
      <c r="A236" s="166">
        <f t="shared" si="3"/>
        <v>195</v>
      </c>
      <c r="B236" s="45" t="s">
        <v>1231</v>
      </c>
      <c r="C236" s="53" t="s">
        <v>1232</v>
      </c>
      <c r="D236" s="148" t="s">
        <v>440</v>
      </c>
      <c r="E236" s="166" t="s">
        <v>441</v>
      </c>
      <c r="F236" s="53" t="s">
        <v>155</v>
      </c>
      <c r="G236" s="148" t="s">
        <v>1233</v>
      </c>
      <c r="H236" s="53" t="s">
        <v>197</v>
      </c>
      <c r="I236" s="313">
        <v>22</v>
      </c>
      <c r="J236" s="318">
        <v>22</v>
      </c>
      <c r="K236" s="820">
        <v>22</v>
      </c>
      <c r="L236" s="148" t="s">
        <v>1234</v>
      </c>
      <c r="M236" s="166">
        <v>2008</v>
      </c>
      <c r="N236" s="878">
        <v>39762</v>
      </c>
      <c r="O236" s="206" t="s">
        <v>1235</v>
      </c>
      <c r="P236" s="27" t="s">
        <v>37</v>
      </c>
      <c r="Q236" s="53"/>
      <c r="R236" s="198" t="s">
        <v>89</v>
      </c>
      <c r="S236" s="198" t="s">
        <v>35</v>
      </c>
      <c r="T236" s="148" t="s">
        <v>35</v>
      </c>
      <c r="U236" s="148" t="s">
        <v>35</v>
      </c>
      <c r="V236" s="148" t="s">
        <v>35</v>
      </c>
      <c r="W236" s="204" t="s">
        <v>66</v>
      </c>
      <c r="X236" s="27" t="s">
        <v>112</v>
      </c>
      <c r="Y236" s="27">
        <v>5448</v>
      </c>
      <c r="Z236" s="148" t="s">
        <v>1234</v>
      </c>
      <c r="AA236" s="166" t="s">
        <v>91</v>
      </c>
      <c r="AB236" s="166"/>
    </row>
    <row r="237" spans="1:28" ht="30" hidden="1" customHeight="1">
      <c r="A237" s="166">
        <f t="shared" si="3"/>
        <v>196</v>
      </c>
      <c r="B237" s="45" t="s">
        <v>1236</v>
      </c>
      <c r="C237" s="46" t="s">
        <v>1237</v>
      </c>
      <c r="D237" s="148" t="s">
        <v>440</v>
      </c>
      <c r="E237" s="166" t="s">
        <v>441</v>
      </c>
      <c r="F237" s="148" t="s">
        <v>201</v>
      </c>
      <c r="G237" s="148" t="s">
        <v>1181</v>
      </c>
      <c r="H237" s="53" t="s">
        <v>203</v>
      </c>
      <c r="I237" s="313">
        <v>7.38</v>
      </c>
      <c r="J237" s="318">
        <v>7.38</v>
      </c>
      <c r="K237" s="820">
        <v>7.38</v>
      </c>
      <c r="L237" s="148" t="s">
        <v>1238</v>
      </c>
      <c r="M237" s="166">
        <v>2008</v>
      </c>
      <c r="N237" s="878">
        <v>39772</v>
      </c>
      <c r="O237" s="206" t="s">
        <v>1239</v>
      </c>
      <c r="P237" s="27" t="s">
        <v>37</v>
      </c>
      <c r="Q237" s="53"/>
      <c r="R237" s="190" t="s">
        <v>38</v>
      </c>
      <c r="S237" s="194" t="s">
        <v>39</v>
      </c>
      <c r="T237" s="195" t="s">
        <v>1240</v>
      </c>
      <c r="U237" s="195">
        <v>2011</v>
      </c>
      <c r="V237" s="196" t="s">
        <v>145</v>
      </c>
      <c r="W237" s="66" t="s">
        <v>66</v>
      </c>
      <c r="X237" s="27" t="s">
        <v>112</v>
      </c>
      <c r="Y237" s="27">
        <v>7344</v>
      </c>
      <c r="Z237" s="148" t="s">
        <v>1238</v>
      </c>
      <c r="AA237" s="12" t="s">
        <v>69</v>
      </c>
      <c r="AB237" s="12" t="s">
        <v>1241</v>
      </c>
    </row>
    <row r="238" spans="1:28" ht="30" hidden="1" customHeight="1">
      <c r="A238" s="166">
        <f t="shared" si="3"/>
        <v>197</v>
      </c>
      <c r="B238" s="47" t="s">
        <v>1242</v>
      </c>
      <c r="C238" s="53" t="s">
        <v>1243</v>
      </c>
      <c r="D238" s="148" t="s">
        <v>440</v>
      </c>
      <c r="E238" s="166" t="s">
        <v>441</v>
      </c>
      <c r="F238" s="53" t="s">
        <v>32</v>
      </c>
      <c r="G238" s="148" t="s">
        <v>1244</v>
      </c>
      <c r="H238" s="53" t="s">
        <v>32</v>
      </c>
      <c r="I238" s="313">
        <v>390.55</v>
      </c>
      <c r="J238" s="318">
        <v>390.55</v>
      </c>
      <c r="K238" s="820">
        <v>390.55</v>
      </c>
      <c r="L238" s="148" t="s">
        <v>1245</v>
      </c>
      <c r="M238" s="166">
        <v>2008</v>
      </c>
      <c r="N238" s="878">
        <v>39601</v>
      </c>
      <c r="O238" s="206" t="s">
        <v>1246</v>
      </c>
      <c r="P238" s="27" t="s">
        <v>37</v>
      </c>
      <c r="Q238" s="53"/>
      <c r="R238" s="198" t="s">
        <v>89</v>
      </c>
      <c r="S238" s="198" t="s">
        <v>35</v>
      </c>
      <c r="T238" s="148" t="s">
        <v>35</v>
      </c>
      <c r="U238" s="148" t="s">
        <v>35</v>
      </c>
      <c r="V238" s="148" t="s">
        <v>35</v>
      </c>
      <c r="W238" s="204" t="s">
        <v>66</v>
      </c>
      <c r="X238" s="27" t="s">
        <v>112</v>
      </c>
      <c r="Y238" s="27">
        <v>149</v>
      </c>
      <c r="Z238" s="148" t="s">
        <v>1245</v>
      </c>
      <c r="AA238" s="166" t="s">
        <v>91</v>
      </c>
      <c r="AB238" s="166"/>
    </row>
    <row r="239" spans="1:28" ht="30" hidden="1" customHeight="1">
      <c r="A239" s="166">
        <f t="shared" si="3"/>
        <v>198</v>
      </c>
      <c r="B239" s="330" t="s">
        <v>1247</v>
      </c>
      <c r="C239" s="148" t="s">
        <v>1248</v>
      </c>
      <c r="D239" s="148" t="s">
        <v>440</v>
      </c>
      <c r="E239" s="166" t="s">
        <v>441</v>
      </c>
      <c r="F239" s="53" t="s">
        <v>321</v>
      </c>
      <c r="G239" s="148" t="s">
        <v>382</v>
      </c>
      <c r="H239" s="53" t="s">
        <v>382</v>
      </c>
      <c r="I239" s="313">
        <v>840.27</v>
      </c>
      <c r="J239" s="318">
        <v>840.27</v>
      </c>
      <c r="K239" s="820">
        <v>840.27</v>
      </c>
      <c r="L239" s="148" t="s">
        <v>1249</v>
      </c>
      <c r="M239" s="166">
        <v>2009</v>
      </c>
      <c r="N239" s="877">
        <v>39882</v>
      </c>
      <c r="O239" s="206" t="s">
        <v>1250</v>
      </c>
      <c r="P239" s="27" t="s">
        <v>37</v>
      </c>
      <c r="Q239" s="53"/>
      <c r="R239" s="198" t="s">
        <v>89</v>
      </c>
      <c r="S239" s="198" t="s">
        <v>35</v>
      </c>
      <c r="T239" s="148" t="s">
        <v>35</v>
      </c>
      <c r="U239" s="148" t="s">
        <v>35</v>
      </c>
      <c r="V239" s="148" t="s">
        <v>35</v>
      </c>
      <c r="W239" s="204" t="s">
        <v>66</v>
      </c>
      <c r="X239" s="27" t="s">
        <v>112</v>
      </c>
      <c r="Y239" s="27">
        <v>7621</v>
      </c>
      <c r="Z239" s="148" t="s">
        <v>1249</v>
      </c>
      <c r="AA239" s="166" t="s">
        <v>91</v>
      </c>
      <c r="AB239" s="166"/>
    </row>
    <row r="240" spans="1:28" ht="30" hidden="1" customHeight="1">
      <c r="A240" s="166">
        <f t="shared" si="3"/>
        <v>199</v>
      </c>
      <c r="B240" s="47" t="s">
        <v>1251</v>
      </c>
      <c r="C240" s="53" t="s">
        <v>1252</v>
      </c>
      <c r="D240" s="148" t="s">
        <v>440</v>
      </c>
      <c r="E240" s="166" t="s">
        <v>441</v>
      </c>
      <c r="F240" s="53" t="s">
        <v>210</v>
      </c>
      <c r="G240" s="148" t="s">
        <v>457</v>
      </c>
      <c r="H240" s="53" t="s">
        <v>212</v>
      </c>
      <c r="I240" s="313">
        <v>617</v>
      </c>
      <c r="J240" s="318">
        <v>83.91</v>
      </c>
      <c r="K240" s="820">
        <v>617</v>
      </c>
      <c r="L240" s="148" t="s">
        <v>1253</v>
      </c>
      <c r="M240" s="166">
        <v>2009</v>
      </c>
      <c r="N240" s="877">
        <v>39925</v>
      </c>
      <c r="O240" s="206" t="s">
        <v>1254</v>
      </c>
      <c r="P240" s="27" t="s">
        <v>37</v>
      </c>
      <c r="Q240" s="53"/>
      <c r="R240" s="190" t="s">
        <v>38</v>
      </c>
      <c r="S240" s="194" t="s">
        <v>39</v>
      </c>
      <c r="T240" s="195" t="s">
        <v>1255</v>
      </c>
      <c r="U240" s="195">
        <v>2010</v>
      </c>
      <c r="V240" s="196" t="s">
        <v>513</v>
      </c>
      <c r="W240" s="66" t="s">
        <v>66</v>
      </c>
      <c r="X240" s="27" t="s">
        <v>112</v>
      </c>
      <c r="Y240" s="27">
        <v>7557</v>
      </c>
      <c r="Z240" s="65" t="s">
        <v>1255</v>
      </c>
      <c r="AA240" s="12" t="s">
        <v>69</v>
      </c>
      <c r="AB240" s="12"/>
    </row>
    <row r="241" spans="1:28" ht="30" hidden="1" customHeight="1">
      <c r="A241" s="166">
        <f t="shared" si="3"/>
        <v>200</v>
      </c>
      <c r="B241" s="330" t="s">
        <v>1256</v>
      </c>
      <c r="C241" s="53" t="s">
        <v>1257</v>
      </c>
      <c r="D241" s="148" t="s">
        <v>440</v>
      </c>
      <c r="E241" s="166" t="s">
        <v>441</v>
      </c>
      <c r="F241" s="53" t="s">
        <v>32</v>
      </c>
      <c r="G241" s="148" t="s">
        <v>767</v>
      </c>
      <c r="H241" s="53" t="s">
        <v>32</v>
      </c>
      <c r="I241" s="322">
        <v>40.479999999999997</v>
      </c>
      <c r="J241" s="340">
        <v>0</v>
      </c>
      <c r="K241" s="820">
        <v>40.479999999999997</v>
      </c>
      <c r="L241" s="148" t="s">
        <v>1258</v>
      </c>
      <c r="M241" s="166">
        <v>2009</v>
      </c>
      <c r="N241" s="887">
        <v>39973</v>
      </c>
      <c r="O241" s="206" t="s">
        <v>1259</v>
      </c>
      <c r="P241" s="27" t="s">
        <v>37</v>
      </c>
      <c r="Q241" s="53"/>
      <c r="R241" s="198" t="s">
        <v>89</v>
      </c>
      <c r="S241" s="198" t="s">
        <v>35</v>
      </c>
      <c r="T241" s="148" t="s">
        <v>35</v>
      </c>
      <c r="U241" s="148" t="s">
        <v>35</v>
      </c>
      <c r="V241" s="148" t="s">
        <v>35</v>
      </c>
      <c r="W241" s="204" t="s">
        <v>66</v>
      </c>
      <c r="X241" s="198" t="s">
        <v>937</v>
      </c>
      <c r="Y241" s="198">
        <v>7799</v>
      </c>
      <c r="Z241" s="148" t="s">
        <v>1258</v>
      </c>
      <c r="AA241" s="166" t="s">
        <v>91</v>
      </c>
      <c r="AB241" s="166"/>
    </row>
    <row r="242" spans="1:28" ht="30" hidden="1" customHeight="1">
      <c r="A242" s="166">
        <f t="shared" si="3"/>
        <v>201</v>
      </c>
      <c r="B242" s="47" t="s">
        <v>1260</v>
      </c>
      <c r="C242" s="148" t="s">
        <v>1261</v>
      </c>
      <c r="D242" s="148" t="s">
        <v>440</v>
      </c>
      <c r="E242" s="166" t="s">
        <v>441</v>
      </c>
      <c r="F242" s="53" t="s">
        <v>180</v>
      </c>
      <c r="G242" s="148" t="s">
        <v>683</v>
      </c>
      <c r="H242" s="53" t="s">
        <v>394</v>
      </c>
      <c r="I242" s="313">
        <v>1167.97</v>
      </c>
      <c r="J242" s="318">
        <v>1167.97</v>
      </c>
      <c r="K242" s="820">
        <v>1167.97</v>
      </c>
      <c r="L242" s="148" t="s">
        <v>1262</v>
      </c>
      <c r="M242" s="166">
        <v>2009</v>
      </c>
      <c r="N242" s="887">
        <v>40003</v>
      </c>
      <c r="O242" s="206" t="s">
        <v>1263</v>
      </c>
      <c r="P242" s="27" t="s">
        <v>37</v>
      </c>
      <c r="Q242" s="53"/>
      <c r="R242" s="198" t="s">
        <v>89</v>
      </c>
      <c r="S242" s="198" t="s">
        <v>35</v>
      </c>
      <c r="T242" s="148" t="s">
        <v>35</v>
      </c>
      <c r="U242" s="148" t="s">
        <v>35</v>
      </c>
      <c r="V242" s="148" t="s">
        <v>35</v>
      </c>
      <c r="W242" s="204" t="s">
        <v>66</v>
      </c>
      <c r="X242" s="27" t="s">
        <v>112</v>
      </c>
      <c r="Y242" s="27">
        <v>7611</v>
      </c>
      <c r="Z242" s="148" t="s">
        <v>1262</v>
      </c>
      <c r="AA242" s="166" t="s">
        <v>91</v>
      </c>
      <c r="AB242" s="166"/>
    </row>
    <row r="243" spans="1:28" ht="30" hidden="1" customHeight="1">
      <c r="A243" s="166">
        <f t="shared" si="3"/>
        <v>202</v>
      </c>
      <c r="B243" s="330" t="s">
        <v>1264</v>
      </c>
      <c r="C243" s="53" t="s">
        <v>1265</v>
      </c>
      <c r="D243" s="148" t="s">
        <v>440</v>
      </c>
      <c r="E243" s="166" t="s">
        <v>441</v>
      </c>
      <c r="F243" s="53" t="s">
        <v>32</v>
      </c>
      <c r="G243" s="148" t="s">
        <v>72</v>
      </c>
      <c r="H243" s="53" t="s">
        <v>32</v>
      </c>
      <c r="I243" s="313">
        <v>3.23</v>
      </c>
      <c r="J243" s="340">
        <v>0</v>
      </c>
      <c r="K243" s="820">
        <v>3.23</v>
      </c>
      <c r="L243" s="148" t="s">
        <v>1266</v>
      </c>
      <c r="M243" s="166">
        <v>2009</v>
      </c>
      <c r="N243" s="887">
        <v>40046</v>
      </c>
      <c r="O243" s="206" t="s">
        <v>1267</v>
      </c>
      <c r="P243" s="27" t="s">
        <v>37</v>
      </c>
      <c r="Q243" s="53"/>
      <c r="R243" s="198" t="s">
        <v>89</v>
      </c>
      <c r="S243" s="198" t="s">
        <v>35</v>
      </c>
      <c r="T243" s="148" t="s">
        <v>35</v>
      </c>
      <c r="U243" s="148" t="s">
        <v>35</v>
      </c>
      <c r="V243" s="148" t="s">
        <v>35</v>
      </c>
      <c r="W243" s="204" t="s">
        <v>66</v>
      </c>
      <c r="X243" s="198" t="s">
        <v>1268</v>
      </c>
      <c r="Y243" s="198">
        <v>7528</v>
      </c>
      <c r="Z243" s="148" t="s">
        <v>1266</v>
      </c>
      <c r="AA243" s="166" t="s">
        <v>91</v>
      </c>
      <c r="AB243" s="166"/>
    </row>
    <row r="244" spans="1:28" ht="30" hidden="1" customHeight="1">
      <c r="A244" s="166">
        <f t="shared" si="3"/>
        <v>203</v>
      </c>
      <c r="B244" s="47" t="s">
        <v>1269</v>
      </c>
      <c r="C244" s="53" t="s">
        <v>1270</v>
      </c>
      <c r="D244" s="148" t="s">
        <v>440</v>
      </c>
      <c r="E244" s="166" t="s">
        <v>441</v>
      </c>
      <c r="F244" s="53" t="s">
        <v>164</v>
      </c>
      <c r="G244" s="148" t="s">
        <v>1271</v>
      </c>
      <c r="H244" s="53" t="s">
        <v>165</v>
      </c>
      <c r="I244" s="313">
        <v>147.6</v>
      </c>
      <c r="J244" s="318">
        <v>147.6</v>
      </c>
      <c r="K244" s="820">
        <v>147.6</v>
      </c>
      <c r="L244" s="148" t="s">
        <v>1272</v>
      </c>
      <c r="M244" s="166">
        <v>2009</v>
      </c>
      <c r="N244" s="887">
        <v>39890</v>
      </c>
      <c r="O244" s="206" t="s">
        <v>1273</v>
      </c>
      <c r="P244" s="27" t="s">
        <v>37</v>
      </c>
      <c r="Q244" s="53"/>
      <c r="R244" s="198" t="s">
        <v>89</v>
      </c>
      <c r="S244" s="198" t="s">
        <v>35</v>
      </c>
      <c r="T244" s="148" t="s">
        <v>35</v>
      </c>
      <c r="U244" s="148" t="s">
        <v>35</v>
      </c>
      <c r="V244" s="148" t="s">
        <v>35</v>
      </c>
      <c r="W244" s="204" t="s">
        <v>66</v>
      </c>
      <c r="X244" s="27" t="s">
        <v>112</v>
      </c>
      <c r="Y244" s="27">
        <v>7000</v>
      </c>
      <c r="Z244" s="148" t="s">
        <v>1272</v>
      </c>
      <c r="AA244" s="166" t="s">
        <v>91</v>
      </c>
      <c r="AB244" s="166"/>
    </row>
    <row r="245" spans="1:28" ht="30" hidden="1" customHeight="1">
      <c r="A245" s="166">
        <f t="shared" si="3"/>
        <v>204</v>
      </c>
      <c r="B245" s="330" t="s">
        <v>1274</v>
      </c>
      <c r="C245" s="148" t="s">
        <v>1275</v>
      </c>
      <c r="D245" s="148" t="s">
        <v>496</v>
      </c>
      <c r="E245" s="166" t="s">
        <v>497</v>
      </c>
      <c r="F245" s="53" t="s">
        <v>32</v>
      </c>
      <c r="G245" s="148" t="s">
        <v>940</v>
      </c>
      <c r="H245" s="148" t="s">
        <v>32</v>
      </c>
      <c r="I245" s="936">
        <v>323.3</v>
      </c>
      <c r="J245" s="340">
        <v>0</v>
      </c>
      <c r="K245" s="820">
        <v>323.3</v>
      </c>
      <c r="L245" s="148" t="s">
        <v>1276</v>
      </c>
      <c r="M245" s="166">
        <v>2008</v>
      </c>
      <c r="N245" s="887">
        <v>39874</v>
      </c>
      <c r="O245" s="53" t="s">
        <v>1277</v>
      </c>
      <c r="P245" s="27" t="s">
        <v>37</v>
      </c>
      <c r="Q245" s="53"/>
      <c r="R245" s="198" t="s">
        <v>89</v>
      </c>
      <c r="S245" s="198" t="s">
        <v>35</v>
      </c>
      <c r="T245" s="148" t="s">
        <v>35</v>
      </c>
      <c r="U245" s="148" t="s">
        <v>35</v>
      </c>
      <c r="V245" s="148" t="s">
        <v>35</v>
      </c>
      <c r="W245" s="204" t="s">
        <v>66</v>
      </c>
      <c r="X245" s="198" t="s">
        <v>1278</v>
      </c>
      <c r="Y245" s="198">
        <v>7609</v>
      </c>
      <c r="Z245" s="148" t="s">
        <v>1276</v>
      </c>
      <c r="AA245" s="166" t="s">
        <v>91</v>
      </c>
      <c r="AB245" s="166"/>
    </row>
    <row r="246" spans="1:28" ht="30" hidden="1" customHeight="1">
      <c r="A246" s="166">
        <f t="shared" si="3"/>
        <v>205</v>
      </c>
      <c r="B246" s="47" t="s">
        <v>1279</v>
      </c>
      <c r="C246" s="148" t="s">
        <v>1280</v>
      </c>
      <c r="D246" s="148" t="s">
        <v>496</v>
      </c>
      <c r="E246" s="166" t="s">
        <v>497</v>
      </c>
      <c r="F246" s="53" t="s">
        <v>32</v>
      </c>
      <c r="G246" s="148" t="s">
        <v>940</v>
      </c>
      <c r="H246" s="148" t="s">
        <v>32</v>
      </c>
      <c r="I246" s="936">
        <v>7.02</v>
      </c>
      <c r="J246" s="340">
        <v>0</v>
      </c>
      <c r="K246" s="820">
        <v>7.02</v>
      </c>
      <c r="L246" s="148" t="s">
        <v>1281</v>
      </c>
      <c r="M246" s="166">
        <v>2008</v>
      </c>
      <c r="N246" s="887">
        <v>39835</v>
      </c>
      <c r="O246" s="53" t="s">
        <v>1277</v>
      </c>
      <c r="P246" s="27" t="s">
        <v>37</v>
      </c>
      <c r="Q246" s="53"/>
      <c r="R246" s="198" t="s">
        <v>89</v>
      </c>
      <c r="S246" s="198" t="s">
        <v>35</v>
      </c>
      <c r="T246" s="148" t="s">
        <v>35</v>
      </c>
      <c r="U246" s="148" t="s">
        <v>35</v>
      </c>
      <c r="V246" s="148" t="s">
        <v>35</v>
      </c>
      <c r="W246" s="204" t="s">
        <v>66</v>
      </c>
      <c r="X246" s="198" t="s">
        <v>937</v>
      </c>
      <c r="Y246" s="198">
        <v>7540</v>
      </c>
      <c r="Z246" s="148" t="s">
        <v>1281</v>
      </c>
      <c r="AA246" s="166" t="s">
        <v>91</v>
      </c>
      <c r="AB246" s="166"/>
    </row>
    <row r="247" spans="1:28" ht="30" hidden="1" customHeight="1">
      <c r="A247" s="166">
        <f t="shared" si="3"/>
        <v>206</v>
      </c>
      <c r="B247" s="330" t="s">
        <v>1282</v>
      </c>
      <c r="C247" s="148" t="s">
        <v>1283</v>
      </c>
      <c r="D247" s="148" t="s">
        <v>496</v>
      </c>
      <c r="E247" s="166" t="s">
        <v>497</v>
      </c>
      <c r="F247" s="53" t="s">
        <v>32</v>
      </c>
      <c r="G247" s="148" t="s">
        <v>940</v>
      </c>
      <c r="H247" s="148" t="s">
        <v>32</v>
      </c>
      <c r="I247" s="936">
        <v>14.04</v>
      </c>
      <c r="J247" s="340">
        <v>0</v>
      </c>
      <c r="K247" s="820">
        <v>14.04</v>
      </c>
      <c r="L247" s="148" t="s">
        <v>1284</v>
      </c>
      <c r="M247" s="166">
        <v>2009</v>
      </c>
      <c r="N247" s="887">
        <v>40057</v>
      </c>
      <c r="O247" s="53" t="s">
        <v>1277</v>
      </c>
      <c r="P247" s="27" t="s">
        <v>37</v>
      </c>
      <c r="Q247" s="53"/>
      <c r="R247" s="198" t="s">
        <v>89</v>
      </c>
      <c r="S247" s="198" t="s">
        <v>35</v>
      </c>
      <c r="T247" s="148" t="s">
        <v>35</v>
      </c>
      <c r="U247" s="148" t="s">
        <v>35</v>
      </c>
      <c r="V247" s="148" t="s">
        <v>35</v>
      </c>
      <c r="W247" s="204" t="s">
        <v>66</v>
      </c>
      <c r="X247" s="198" t="s">
        <v>937</v>
      </c>
      <c r="Y247" s="198">
        <v>7527</v>
      </c>
      <c r="Z247" s="148" t="s">
        <v>1284</v>
      </c>
      <c r="AA247" s="166" t="s">
        <v>91</v>
      </c>
      <c r="AB247" s="166"/>
    </row>
    <row r="248" spans="1:28" ht="30" hidden="1" customHeight="1">
      <c r="A248" s="166">
        <f t="shared" si="3"/>
        <v>207</v>
      </c>
      <c r="B248" s="47" t="s">
        <v>1285</v>
      </c>
      <c r="C248" s="148" t="s">
        <v>1286</v>
      </c>
      <c r="D248" s="148" t="s">
        <v>496</v>
      </c>
      <c r="E248" s="166" t="s">
        <v>497</v>
      </c>
      <c r="F248" s="53" t="s">
        <v>32</v>
      </c>
      <c r="G248" s="148" t="s">
        <v>1287</v>
      </c>
      <c r="H248" s="148" t="s">
        <v>32</v>
      </c>
      <c r="I248" s="937">
        <v>420</v>
      </c>
      <c r="J248" s="340">
        <v>0</v>
      </c>
      <c r="K248" s="820">
        <v>420</v>
      </c>
      <c r="L248" s="148" t="s">
        <v>1288</v>
      </c>
      <c r="M248" s="166">
        <v>2009</v>
      </c>
      <c r="N248" s="887">
        <v>40046</v>
      </c>
      <c r="O248" s="53" t="s">
        <v>1289</v>
      </c>
      <c r="P248" s="27" t="s">
        <v>37</v>
      </c>
      <c r="Q248" s="53"/>
      <c r="R248" s="198" t="s">
        <v>89</v>
      </c>
      <c r="S248" s="198" t="s">
        <v>35</v>
      </c>
      <c r="T248" s="148" t="s">
        <v>35</v>
      </c>
      <c r="U248" s="148" t="s">
        <v>35</v>
      </c>
      <c r="V248" s="148" t="s">
        <v>35</v>
      </c>
      <c r="W248" s="204" t="s">
        <v>66</v>
      </c>
      <c r="X248" s="198" t="s">
        <v>1152</v>
      </c>
      <c r="Y248" s="198">
        <v>7503</v>
      </c>
      <c r="Z248" s="148" t="s">
        <v>1288</v>
      </c>
      <c r="AA248" s="166" t="s">
        <v>91</v>
      </c>
      <c r="AB248" s="166"/>
    </row>
    <row r="249" spans="1:28" ht="30" hidden="1" customHeight="1">
      <c r="A249" s="166">
        <f t="shared" si="3"/>
        <v>208</v>
      </c>
      <c r="B249" s="330" t="s">
        <v>1290</v>
      </c>
      <c r="C249" s="148" t="s">
        <v>1291</v>
      </c>
      <c r="D249" s="148" t="s">
        <v>496</v>
      </c>
      <c r="E249" s="166" t="s">
        <v>497</v>
      </c>
      <c r="F249" s="53" t="s">
        <v>32</v>
      </c>
      <c r="G249" s="148" t="s">
        <v>1292</v>
      </c>
      <c r="H249" s="148" t="s">
        <v>32</v>
      </c>
      <c r="I249" s="937">
        <v>16</v>
      </c>
      <c r="J249" s="318">
        <v>16</v>
      </c>
      <c r="K249" s="820">
        <v>16</v>
      </c>
      <c r="L249" s="148" t="s">
        <v>1293</v>
      </c>
      <c r="M249" s="166">
        <v>2008</v>
      </c>
      <c r="N249" s="887">
        <v>39829</v>
      </c>
      <c r="O249" s="53" t="s">
        <v>1294</v>
      </c>
      <c r="P249" s="27" t="s">
        <v>37</v>
      </c>
      <c r="Q249" s="53"/>
      <c r="R249" s="198" t="s">
        <v>89</v>
      </c>
      <c r="S249" s="198" t="s">
        <v>35</v>
      </c>
      <c r="T249" s="148" t="s">
        <v>35</v>
      </c>
      <c r="U249" s="148" t="s">
        <v>35</v>
      </c>
      <c r="V249" s="148" t="s">
        <v>35</v>
      </c>
      <c r="W249" s="204" t="s">
        <v>66</v>
      </c>
      <c r="X249" s="27" t="s">
        <v>112</v>
      </c>
      <c r="Y249" s="27">
        <v>7501</v>
      </c>
      <c r="Z249" s="148" t="s">
        <v>1293</v>
      </c>
      <c r="AA249" s="166" t="s">
        <v>91</v>
      </c>
      <c r="AB249" s="166"/>
    </row>
    <row r="250" spans="1:28" ht="30" hidden="1" customHeight="1">
      <c r="A250" s="166">
        <f t="shared" si="3"/>
        <v>209</v>
      </c>
      <c r="B250" s="47" t="s">
        <v>1295</v>
      </c>
      <c r="C250" s="148" t="s">
        <v>1296</v>
      </c>
      <c r="D250" s="148" t="s">
        <v>496</v>
      </c>
      <c r="E250" s="166" t="s">
        <v>497</v>
      </c>
      <c r="F250" s="53" t="s">
        <v>32</v>
      </c>
      <c r="G250" s="148" t="s">
        <v>1287</v>
      </c>
      <c r="H250" s="148" t="s">
        <v>32</v>
      </c>
      <c r="I250" s="936">
        <v>6.99</v>
      </c>
      <c r="J250" s="340">
        <v>0</v>
      </c>
      <c r="K250" s="820">
        <v>6.99</v>
      </c>
      <c r="L250" s="148" t="s">
        <v>1297</v>
      </c>
      <c r="M250" s="166">
        <v>2008</v>
      </c>
      <c r="N250" s="887">
        <v>39829</v>
      </c>
      <c r="O250" s="53" t="s">
        <v>1289</v>
      </c>
      <c r="P250" s="27" t="s">
        <v>37</v>
      </c>
      <c r="Q250" s="53"/>
      <c r="R250" s="198" t="s">
        <v>89</v>
      </c>
      <c r="S250" s="198" t="s">
        <v>35</v>
      </c>
      <c r="T250" s="148" t="s">
        <v>35</v>
      </c>
      <c r="U250" s="148" t="s">
        <v>35</v>
      </c>
      <c r="V250" s="148" t="s">
        <v>35</v>
      </c>
      <c r="W250" s="204" t="s">
        <v>66</v>
      </c>
      <c r="X250" s="198" t="s">
        <v>1152</v>
      </c>
      <c r="Y250" s="198">
        <v>7529</v>
      </c>
      <c r="Z250" s="148" t="s">
        <v>1297</v>
      </c>
      <c r="AA250" s="166" t="s">
        <v>91</v>
      </c>
      <c r="AB250" s="166"/>
    </row>
    <row r="251" spans="1:28" ht="30" hidden="1" customHeight="1">
      <c r="A251" s="166">
        <f t="shared" si="3"/>
        <v>210</v>
      </c>
      <c r="B251" s="330" t="s">
        <v>1298</v>
      </c>
      <c r="C251" s="148" t="s">
        <v>1299</v>
      </c>
      <c r="D251" s="148" t="s">
        <v>496</v>
      </c>
      <c r="E251" s="166" t="s">
        <v>497</v>
      </c>
      <c r="F251" s="53" t="s">
        <v>32</v>
      </c>
      <c r="G251" s="148" t="s">
        <v>1292</v>
      </c>
      <c r="H251" s="148" t="s">
        <v>32</v>
      </c>
      <c r="I251" s="936">
        <v>49.8</v>
      </c>
      <c r="J251" s="318">
        <v>49.8</v>
      </c>
      <c r="K251" s="820">
        <v>49.8</v>
      </c>
      <c r="L251" s="148" t="s">
        <v>1300</v>
      </c>
      <c r="M251" s="166">
        <v>2009</v>
      </c>
      <c r="N251" s="887">
        <v>40049</v>
      </c>
      <c r="O251" s="53" t="s">
        <v>1301</v>
      </c>
      <c r="P251" s="27" t="s">
        <v>37</v>
      </c>
      <c r="Q251" s="53"/>
      <c r="R251" s="198" t="s">
        <v>89</v>
      </c>
      <c r="S251" s="198" t="s">
        <v>35</v>
      </c>
      <c r="T251" s="148" t="s">
        <v>35</v>
      </c>
      <c r="U251" s="148" t="s">
        <v>35</v>
      </c>
      <c r="V251" s="148" t="s">
        <v>35</v>
      </c>
      <c r="W251" s="204" t="s">
        <v>66</v>
      </c>
      <c r="X251" s="27" t="s">
        <v>112</v>
      </c>
      <c r="Y251" s="27">
        <v>7500</v>
      </c>
      <c r="Z251" s="148" t="s">
        <v>1300</v>
      </c>
      <c r="AA251" s="166" t="s">
        <v>91</v>
      </c>
      <c r="AB251" s="166"/>
    </row>
    <row r="252" spans="1:28" ht="30" hidden="1" customHeight="1">
      <c r="A252" s="166">
        <f t="shared" si="3"/>
        <v>211</v>
      </c>
      <c r="B252" s="47" t="s">
        <v>1302</v>
      </c>
      <c r="C252" s="148" t="s">
        <v>1303</v>
      </c>
      <c r="D252" s="148" t="s">
        <v>496</v>
      </c>
      <c r="E252" s="166" t="s">
        <v>497</v>
      </c>
      <c r="F252" s="53" t="s">
        <v>32</v>
      </c>
      <c r="G252" s="148" t="s">
        <v>1287</v>
      </c>
      <c r="H252" s="148" t="s">
        <v>32</v>
      </c>
      <c r="I252" s="936">
        <v>19.739999999999998</v>
      </c>
      <c r="J252" s="318">
        <v>19.739999999999998</v>
      </c>
      <c r="K252" s="820">
        <v>19.739999999999998</v>
      </c>
      <c r="L252" s="148" t="s">
        <v>1304</v>
      </c>
      <c r="M252" s="166">
        <v>2008</v>
      </c>
      <c r="N252" s="887">
        <v>39866</v>
      </c>
      <c r="O252" s="53" t="s">
        <v>1289</v>
      </c>
      <c r="P252" s="27" t="s">
        <v>37</v>
      </c>
      <c r="Q252" s="53"/>
      <c r="R252" s="198" t="s">
        <v>89</v>
      </c>
      <c r="S252" s="198" t="s">
        <v>35</v>
      </c>
      <c r="T252" s="148" t="s">
        <v>35</v>
      </c>
      <c r="U252" s="148" t="s">
        <v>35</v>
      </c>
      <c r="V252" s="148" t="s">
        <v>35</v>
      </c>
      <c r="W252" s="204" t="s">
        <v>66</v>
      </c>
      <c r="X252" s="27" t="s">
        <v>112</v>
      </c>
      <c r="Y252" s="27">
        <v>7502</v>
      </c>
      <c r="Z252" s="148" t="s">
        <v>1304</v>
      </c>
      <c r="AA252" s="166" t="s">
        <v>91</v>
      </c>
      <c r="AB252" s="166"/>
    </row>
    <row r="253" spans="1:28" ht="30" hidden="1" customHeight="1">
      <c r="A253" s="166">
        <f t="shared" si="3"/>
        <v>212</v>
      </c>
      <c r="B253" s="330" t="s">
        <v>1305</v>
      </c>
      <c r="C253" s="148" t="s">
        <v>1306</v>
      </c>
      <c r="D253" s="148" t="s">
        <v>496</v>
      </c>
      <c r="E253" s="166" t="s">
        <v>497</v>
      </c>
      <c r="F253" s="53" t="s">
        <v>32</v>
      </c>
      <c r="G253" s="148" t="s">
        <v>767</v>
      </c>
      <c r="H253" s="148" t="s">
        <v>32</v>
      </c>
      <c r="I253" s="936">
        <v>8.9600000000000009</v>
      </c>
      <c r="J253" s="340">
        <v>0</v>
      </c>
      <c r="K253" s="820">
        <v>8.9600000000000009</v>
      </c>
      <c r="L253" s="148" t="s">
        <v>1307</v>
      </c>
      <c r="M253" s="166">
        <v>2008</v>
      </c>
      <c r="N253" s="887">
        <v>39825</v>
      </c>
      <c r="O253" s="53" t="s">
        <v>1308</v>
      </c>
      <c r="P253" s="27" t="s">
        <v>37</v>
      </c>
      <c r="Q253" s="53"/>
      <c r="R253" s="198" t="s">
        <v>89</v>
      </c>
      <c r="S253" s="198" t="s">
        <v>35</v>
      </c>
      <c r="T253" s="148" t="s">
        <v>35</v>
      </c>
      <c r="U253" s="148" t="s">
        <v>35</v>
      </c>
      <c r="V253" s="148" t="s">
        <v>35</v>
      </c>
      <c r="W253" s="204" t="s">
        <v>66</v>
      </c>
      <c r="X253" s="198" t="s">
        <v>937</v>
      </c>
      <c r="Y253" s="198">
        <v>7531</v>
      </c>
      <c r="Z253" s="148" t="s">
        <v>1307</v>
      </c>
      <c r="AA253" s="166" t="s">
        <v>91</v>
      </c>
      <c r="AB253" s="166"/>
    </row>
    <row r="254" spans="1:28" ht="30" hidden="1" customHeight="1">
      <c r="A254" s="166">
        <f t="shared" si="3"/>
        <v>213</v>
      </c>
      <c r="B254" s="47" t="s">
        <v>1309</v>
      </c>
      <c r="C254" s="53" t="s">
        <v>1190</v>
      </c>
      <c r="D254" s="148" t="s">
        <v>440</v>
      </c>
      <c r="E254" s="166" t="s">
        <v>441</v>
      </c>
      <c r="F254" s="53" t="s">
        <v>321</v>
      </c>
      <c r="G254" s="148" t="s">
        <v>1310</v>
      </c>
      <c r="H254" s="53" t="s">
        <v>518</v>
      </c>
      <c r="I254" s="313">
        <v>640</v>
      </c>
      <c r="J254" s="318">
        <v>640</v>
      </c>
      <c r="K254" s="820">
        <v>640</v>
      </c>
      <c r="L254" s="148" t="s">
        <v>1311</v>
      </c>
      <c r="M254" s="166">
        <v>2009</v>
      </c>
      <c r="N254" s="887">
        <v>40155</v>
      </c>
      <c r="O254" s="206" t="s">
        <v>1312</v>
      </c>
      <c r="P254" s="27" t="s">
        <v>37</v>
      </c>
      <c r="Q254" s="53"/>
      <c r="R254" s="198" t="s">
        <v>89</v>
      </c>
      <c r="S254" s="198" t="s">
        <v>35</v>
      </c>
      <c r="T254" s="148" t="s">
        <v>35</v>
      </c>
      <c r="U254" s="148" t="s">
        <v>35</v>
      </c>
      <c r="V254" s="148" t="s">
        <v>35</v>
      </c>
      <c r="W254" s="204" t="s">
        <v>66</v>
      </c>
      <c r="X254" s="27" t="s">
        <v>112</v>
      </c>
      <c r="Y254" s="27">
        <v>7227</v>
      </c>
      <c r="Z254" s="148" t="s">
        <v>1311</v>
      </c>
      <c r="AA254" s="166" t="s">
        <v>91</v>
      </c>
      <c r="AB254" s="166"/>
    </row>
    <row r="255" spans="1:28" ht="30" hidden="1" customHeight="1">
      <c r="A255" s="166">
        <f t="shared" si="3"/>
        <v>214</v>
      </c>
      <c r="B255" s="330" t="s">
        <v>1313</v>
      </c>
      <c r="C255" s="53" t="s">
        <v>1314</v>
      </c>
      <c r="D255" s="148" t="s">
        <v>496</v>
      </c>
      <c r="E255" s="166" t="s">
        <v>497</v>
      </c>
      <c r="F255" s="53" t="s">
        <v>32</v>
      </c>
      <c r="G255" s="148" t="s">
        <v>1292</v>
      </c>
      <c r="H255" s="53" t="s">
        <v>32</v>
      </c>
      <c r="I255" s="313">
        <v>76.849999999999994</v>
      </c>
      <c r="J255" s="318">
        <v>76.849999999999994</v>
      </c>
      <c r="K255" s="820">
        <v>76.849999999999994</v>
      </c>
      <c r="L255" s="148" t="s">
        <v>1315</v>
      </c>
      <c r="M255" s="166">
        <v>2009</v>
      </c>
      <c r="N255" s="887">
        <v>39953</v>
      </c>
      <c r="O255" s="53" t="s">
        <v>1294</v>
      </c>
      <c r="P255" s="27" t="s">
        <v>37</v>
      </c>
      <c r="Q255" s="53"/>
      <c r="R255" s="198" t="s">
        <v>89</v>
      </c>
      <c r="S255" s="198" t="s">
        <v>35</v>
      </c>
      <c r="T255" s="148" t="s">
        <v>35</v>
      </c>
      <c r="U255" s="148" t="s">
        <v>35</v>
      </c>
      <c r="V255" s="148" t="s">
        <v>35</v>
      </c>
      <c r="W255" s="204" t="s">
        <v>66</v>
      </c>
      <c r="X255" s="27" t="s">
        <v>112</v>
      </c>
      <c r="Y255" s="27">
        <v>7608</v>
      </c>
      <c r="Z255" s="148" t="s">
        <v>1315</v>
      </c>
      <c r="AA255" s="166" t="s">
        <v>91</v>
      </c>
      <c r="AB255" s="166"/>
    </row>
    <row r="256" spans="1:28" ht="30" hidden="1" customHeight="1">
      <c r="A256" s="166">
        <f t="shared" si="3"/>
        <v>215</v>
      </c>
      <c r="B256" s="47" t="s">
        <v>1316</v>
      </c>
      <c r="C256" s="53" t="s">
        <v>1317</v>
      </c>
      <c r="D256" s="148" t="s">
        <v>496</v>
      </c>
      <c r="E256" s="166" t="s">
        <v>497</v>
      </c>
      <c r="F256" s="53" t="s">
        <v>32</v>
      </c>
      <c r="G256" s="148" t="s">
        <v>767</v>
      </c>
      <c r="H256" s="53" t="s">
        <v>32</v>
      </c>
      <c r="I256" s="313">
        <v>76</v>
      </c>
      <c r="J256" s="318">
        <v>76</v>
      </c>
      <c r="K256" s="820">
        <v>76</v>
      </c>
      <c r="L256" s="148" t="s">
        <v>1318</v>
      </c>
      <c r="M256" s="166">
        <v>2010</v>
      </c>
      <c r="N256" s="887">
        <v>40351</v>
      </c>
      <c r="O256" s="53" t="s">
        <v>1319</v>
      </c>
      <c r="P256" s="27" t="s">
        <v>37</v>
      </c>
      <c r="Q256" s="53"/>
      <c r="R256" s="198" t="s">
        <v>89</v>
      </c>
      <c r="S256" s="198" t="s">
        <v>35</v>
      </c>
      <c r="T256" s="148" t="s">
        <v>35</v>
      </c>
      <c r="U256" s="148" t="s">
        <v>35</v>
      </c>
      <c r="V256" s="148" t="s">
        <v>35</v>
      </c>
      <c r="W256" s="204" t="s">
        <v>66</v>
      </c>
      <c r="X256" s="27" t="s">
        <v>112</v>
      </c>
      <c r="Y256" s="27">
        <v>7631</v>
      </c>
      <c r="Z256" s="148" t="s">
        <v>1318</v>
      </c>
      <c r="AA256" s="166" t="s">
        <v>91</v>
      </c>
      <c r="AB256" s="166"/>
    </row>
    <row r="257" spans="1:28" ht="30" hidden="1" customHeight="1">
      <c r="A257" s="166">
        <f t="shared" si="3"/>
        <v>216</v>
      </c>
      <c r="B257" s="330" t="s">
        <v>1320</v>
      </c>
      <c r="C257" s="53" t="s">
        <v>1321</v>
      </c>
      <c r="D257" s="148" t="s">
        <v>440</v>
      </c>
      <c r="E257" s="166" t="s">
        <v>441</v>
      </c>
      <c r="F257" s="53" t="s">
        <v>32</v>
      </c>
      <c r="G257" s="148" t="s">
        <v>767</v>
      </c>
      <c r="H257" s="53" t="s">
        <v>32</v>
      </c>
      <c r="I257" s="313">
        <v>65</v>
      </c>
      <c r="J257" s="340">
        <v>0</v>
      </c>
      <c r="K257" s="820">
        <v>65</v>
      </c>
      <c r="L257" s="148" t="s">
        <v>1322</v>
      </c>
      <c r="M257" s="166">
        <v>2009</v>
      </c>
      <c r="N257" s="887">
        <v>40007</v>
      </c>
      <c r="O257" s="206" t="s">
        <v>1323</v>
      </c>
      <c r="P257" s="27" t="s">
        <v>37</v>
      </c>
      <c r="Q257" s="53"/>
      <c r="R257" s="198" t="s">
        <v>89</v>
      </c>
      <c r="S257" s="198" t="s">
        <v>35</v>
      </c>
      <c r="T257" s="148" t="s">
        <v>35</v>
      </c>
      <c r="U257" s="148" t="s">
        <v>35</v>
      </c>
      <c r="V257" s="148" t="s">
        <v>35</v>
      </c>
      <c r="W257" s="204" t="s">
        <v>66</v>
      </c>
      <c r="X257" s="198" t="s">
        <v>937</v>
      </c>
      <c r="Y257" s="198">
        <v>7568</v>
      </c>
      <c r="Z257" s="148" t="s">
        <v>1322</v>
      </c>
      <c r="AA257" s="166" t="s">
        <v>91</v>
      </c>
      <c r="AB257" s="166"/>
    </row>
    <row r="258" spans="1:28" ht="30" hidden="1" customHeight="1">
      <c r="A258" s="166">
        <f t="shared" si="3"/>
        <v>217</v>
      </c>
      <c r="B258" s="47" t="s">
        <v>1324</v>
      </c>
      <c r="C258" s="53" t="s">
        <v>1325</v>
      </c>
      <c r="D258" s="148" t="s">
        <v>440</v>
      </c>
      <c r="E258" s="166" t="s">
        <v>441</v>
      </c>
      <c r="F258" s="148" t="s">
        <v>201</v>
      </c>
      <c r="G258" s="148" t="s">
        <v>1326</v>
      </c>
      <c r="H258" s="148" t="s">
        <v>726</v>
      </c>
      <c r="I258" s="313">
        <v>188.1</v>
      </c>
      <c r="J258" s="340">
        <v>0</v>
      </c>
      <c r="K258" s="820">
        <v>188.1</v>
      </c>
      <c r="L258" s="148" t="s">
        <v>1327</v>
      </c>
      <c r="M258" s="166">
        <v>2009</v>
      </c>
      <c r="N258" s="887">
        <v>40007</v>
      </c>
      <c r="O258" s="206" t="s">
        <v>1328</v>
      </c>
      <c r="P258" s="27" t="s">
        <v>37</v>
      </c>
      <c r="Q258" s="53"/>
      <c r="R258" s="198" t="s">
        <v>89</v>
      </c>
      <c r="S258" s="198" t="s">
        <v>35</v>
      </c>
      <c r="T258" s="148" t="s">
        <v>35</v>
      </c>
      <c r="U258" s="148" t="s">
        <v>35</v>
      </c>
      <c r="V258" s="148" t="s">
        <v>35</v>
      </c>
      <c r="W258" s="204" t="s">
        <v>66</v>
      </c>
      <c r="X258" s="198" t="s">
        <v>1329</v>
      </c>
      <c r="Y258" s="198">
        <v>7620</v>
      </c>
      <c r="Z258" s="148" t="s">
        <v>1327</v>
      </c>
      <c r="AA258" s="166" t="s">
        <v>91</v>
      </c>
      <c r="AB258" s="166"/>
    </row>
    <row r="259" spans="1:28" ht="30" hidden="1" customHeight="1">
      <c r="A259" s="166">
        <f t="shared" si="3"/>
        <v>218</v>
      </c>
      <c r="B259" s="330" t="s">
        <v>1330</v>
      </c>
      <c r="C259" s="53" t="s">
        <v>1331</v>
      </c>
      <c r="D259" s="148" t="s">
        <v>440</v>
      </c>
      <c r="E259" s="166" t="s">
        <v>441</v>
      </c>
      <c r="F259" s="53" t="s">
        <v>155</v>
      </c>
      <c r="G259" s="148" t="s">
        <v>374</v>
      </c>
      <c r="H259" s="53" t="s">
        <v>197</v>
      </c>
      <c r="I259" s="313">
        <v>178</v>
      </c>
      <c r="J259" s="318">
        <v>178</v>
      </c>
      <c r="K259" s="820">
        <v>178</v>
      </c>
      <c r="L259" s="148" t="s">
        <v>1332</v>
      </c>
      <c r="M259" s="166">
        <v>2009</v>
      </c>
      <c r="N259" s="887">
        <v>39941</v>
      </c>
      <c r="O259" s="206" t="s">
        <v>1333</v>
      </c>
      <c r="P259" s="27" t="s">
        <v>37</v>
      </c>
      <c r="Q259" s="53"/>
      <c r="R259" s="198" t="s">
        <v>89</v>
      </c>
      <c r="S259" s="198" t="s">
        <v>35</v>
      </c>
      <c r="T259" s="148" t="s">
        <v>35</v>
      </c>
      <c r="U259" s="148" t="s">
        <v>35</v>
      </c>
      <c r="V259" s="148" t="s">
        <v>35</v>
      </c>
      <c r="W259" s="204" t="s">
        <v>66</v>
      </c>
      <c r="X259" s="27" t="s">
        <v>112</v>
      </c>
      <c r="Y259" s="946" t="s">
        <v>1334</v>
      </c>
      <c r="Z259" s="148" t="s">
        <v>1332</v>
      </c>
      <c r="AA259" s="166" t="s">
        <v>91</v>
      </c>
      <c r="AB259" s="166"/>
    </row>
    <row r="260" spans="1:28" ht="30" hidden="1" customHeight="1">
      <c r="A260" s="166">
        <f t="shared" si="3"/>
        <v>219</v>
      </c>
      <c r="B260" s="47" t="s">
        <v>1335</v>
      </c>
      <c r="C260" s="53" t="s">
        <v>1336</v>
      </c>
      <c r="D260" s="148" t="s">
        <v>440</v>
      </c>
      <c r="E260" s="166" t="s">
        <v>441</v>
      </c>
      <c r="F260" s="148" t="s">
        <v>201</v>
      </c>
      <c r="G260" s="148" t="s">
        <v>732</v>
      </c>
      <c r="H260" s="53" t="s">
        <v>203</v>
      </c>
      <c r="I260" s="313">
        <v>28.707000000000001</v>
      </c>
      <c r="J260" s="318">
        <v>28.71</v>
      </c>
      <c r="K260" s="820">
        <v>28.71</v>
      </c>
      <c r="L260" s="148" t="s">
        <v>1337</v>
      </c>
      <c r="M260" s="166">
        <v>2009</v>
      </c>
      <c r="N260" s="887">
        <v>39947</v>
      </c>
      <c r="O260" s="206" t="s">
        <v>1338</v>
      </c>
      <c r="P260" s="27" t="s">
        <v>37</v>
      </c>
      <c r="Q260" s="53"/>
      <c r="R260" s="198" t="s">
        <v>89</v>
      </c>
      <c r="S260" s="198" t="s">
        <v>35</v>
      </c>
      <c r="T260" s="148" t="s">
        <v>35</v>
      </c>
      <c r="U260" s="148" t="s">
        <v>35</v>
      </c>
      <c r="V260" s="148" t="s">
        <v>35</v>
      </c>
      <c r="W260" s="204" t="s">
        <v>66</v>
      </c>
      <c r="X260" s="27" t="s">
        <v>112</v>
      </c>
      <c r="Y260" s="946" t="s">
        <v>1339</v>
      </c>
      <c r="Z260" s="148" t="s">
        <v>1337</v>
      </c>
      <c r="AA260" s="166" t="s">
        <v>91</v>
      </c>
      <c r="AB260" s="166"/>
    </row>
    <row r="261" spans="1:28" ht="30" hidden="1" customHeight="1">
      <c r="A261" s="166">
        <f t="shared" ref="A261:A324" si="4">A260+1</f>
        <v>220</v>
      </c>
      <c r="B261" s="330" t="s">
        <v>1340</v>
      </c>
      <c r="C261" s="53" t="s">
        <v>1341</v>
      </c>
      <c r="D261" s="148" t="s">
        <v>440</v>
      </c>
      <c r="E261" s="166" t="s">
        <v>441</v>
      </c>
      <c r="F261" s="53" t="s">
        <v>188</v>
      </c>
      <c r="G261" s="148" t="s">
        <v>1342</v>
      </c>
      <c r="H261" s="53" t="s">
        <v>262</v>
      </c>
      <c r="I261" s="313">
        <v>2290.8200000000002</v>
      </c>
      <c r="J261" s="318">
        <v>2290.8200000000002</v>
      </c>
      <c r="K261" s="820">
        <v>2290.8200000000002</v>
      </c>
      <c r="L261" s="148" t="s">
        <v>1343</v>
      </c>
      <c r="M261" s="166">
        <v>2009</v>
      </c>
      <c r="N261" s="887">
        <v>40108</v>
      </c>
      <c r="O261" s="206" t="s">
        <v>1344</v>
      </c>
      <c r="P261" s="27" t="s">
        <v>37</v>
      </c>
      <c r="Q261" s="166"/>
      <c r="R261" s="198" t="s">
        <v>89</v>
      </c>
      <c r="S261" s="198" t="s">
        <v>35</v>
      </c>
      <c r="T261" s="148" t="s">
        <v>35</v>
      </c>
      <c r="U261" s="148" t="s">
        <v>35</v>
      </c>
      <c r="V261" s="148" t="s">
        <v>35</v>
      </c>
      <c r="W261" s="204" t="s">
        <v>66</v>
      </c>
      <c r="X261" s="27" t="s">
        <v>112</v>
      </c>
      <c r="Y261" s="27">
        <v>7977</v>
      </c>
      <c r="Z261" s="148" t="s">
        <v>1343</v>
      </c>
      <c r="AA261" s="166" t="s">
        <v>91</v>
      </c>
      <c r="AB261" s="166"/>
    </row>
    <row r="262" spans="1:28" ht="30" hidden="1" customHeight="1">
      <c r="A262" s="166">
        <f t="shared" si="4"/>
        <v>221</v>
      </c>
      <c r="B262" s="47" t="s">
        <v>1345</v>
      </c>
      <c r="C262" s="53" t="s">
        <v>1346</v>
      </c>
      <c r="D262" s="148" t="s">
        <v>496</v>
      </c>
      <c r="E262" s="166" t="s">
        <v>497</v>
      </c>
      <c r="F262" s="53" t="s">
        <v>32</v>
      </c>
      <c r="G262" s="148" t="s">
        <v>767</v>
      </c>
      <c r="H262" s="53" t="s">
        <v>32</v>
      </c>
      <c r="I262" s="313">
        <v>5.7</v>
      </c>
      <c r="J262" s="340">
        <v>0</v>
      </c>
      <c r="K262" s="820">
        <v>5.7</v>
      </c>
      <c r="L262" s="148" t="s">
        <v>1347</v>
      </c>
      <c r="M262" s="166">
        <v>2009</v>
      </c>
      <c r="N262" s="887">
        <v>40021</v>
      </c>
      <c r="O262" s="53" t="s">
        <v>1319</v>
      </c>
      <c r="P262" s="27" t="s">
        <v>37</v>
      </c>
      <c r="Q262" s="53"/>
      <c r="R262" s="198" t="s">
        <v>89</v>
      </c>
      <c r="S262" s="198" t="s">
        <v>35</v>
      </c>
      <c r="T262" s="148" t="s">
        <v>35</v>
      </c>
      <c r="U262" s="148" t="s">
        <v>35</v>
      </c>
      <c r="V262" s="148" t="s">
        <v>35</v>
      </c>
      <c r="W262" s="204" t="s">
        <v>66</v>
      </c>
      <c r="X262" s="198" t="s">
        <v>937</v>
      </c>
      <c r="Y262" s="198">
        <v>7474</v>
      </c>
      <c r="Z262" s="148" t="s">
        <v>1347</v>
      </c>
      <c r="AA262" s="166" t="s">
        <v>91</v>
      </c>
      <c r="AB262" s="166"/>
    </row>
    <row r="263" spans="1:28" ht="30" hidden="1" customHeight="1">
      <c r="A263" s="166">
        <f t="shared" si="4"/>
        <v>222</v>
      </c>
      <c r="B263" s="330" t="s">
        <v>1348</v>
      </c>
      <c r="C263" s="53" t="s">
        <v>1349</v>
      </c>
      <c r="D263" s="148" t="s">
        <v>440</v>
      </c>
      <c r="E263" s="166" t="s">
        <v>441</v>
      </c>
      <c r="F263" s="53" t="s">
        <v>32</v>
      </c>
      <c r="G263" s="148" t="s">
        <v>767</v>
      </c>
      <c r="H263" s="53" t="s">
        <v>32</v>
      </c>
      <c r="I263" s="313">
        <v>458.4</v>
      </c>
      <c r="J263" s="340">
        <v>0</v>
      </c>
      <c r="K263" s="820">
        <v>458.4</v>
      </c>
      <c r="L263" s="148" t="s">
        <v>1350</v>
      </c>
      <c r="M263" s="166">
        <v>2009</v>
      </c>
      <c r="N263" s="887">
        <v>40024</v>
      </c>
      <c r="O263" s="206" t="s">
        <v>1351</v>
      </c>
      <c r="P263" s="27" t="s">
        <v>37</v>
      </c>
      <c r="Q263" s="53"/>
      <c r="R263" s="198" t="s">
        <v>89</v>
      </c>
      <c r="S263" s="198" t="s">
        <v>35</v>
      </c>
      <c r="T263" s="148" t="s">
        <v>35</v>
      </c>
      <c r="U263" s="148" t="s">
        <v>35</v>
      </c>
      <c r="V263" s="148" t="s">
        <v>35</v>
      </c>
      <c r="W263" s="204" t="s">
        <v>66</v>
      </c>
      <c r="X263" s="198" t="s">
        <v>937</v>
      </c>
      <c r="Y263" s="198">
        <v>7947</v>
      </c>
      <c r="Z263" s="148" t="s">
        <v>1350</v>
      </c>
      <c r="AA263" s="166" t="s">
        <v>91</v>
      </c>
      <c r="AB263" s="166"/>
    </row>
    <row r="264" spans="1:28" ht="30" hidden="1" customHeight="1">
      <c r="A264" s="166">
        <f t="shared" si="4"/>
        <v>223</v>
      </c>
      <c r="B264" s="47" t="s">
        <v>1352</v>
      </c>
      <c r="C264" s="53" t="s">
        <v>1353</v>
      </c>
      <c r="D264" s="148" t="s">
        <v>440</v>
      </c>
      <c r="E264" s="166" t="s">
        <v>441</v>
      </c>
      <c r="F264" s="53" t="s">
        <v>32</v>
      </c>
      <c r="G264" s="148" t="s">
        <v>118</v>
      </c>
      <c r="H264" s="53" t="s">
        <v>32</v>
      </c>
      <c r="I264" s="313">
        <v>51.47</v>
      </c>
      <c r="J264" s="340">
        <v>0</v>
      </c>
      <c r="K264" s="820">
        <v>51.47</v>
      </c>
      <c r="L264" s="148" t="s">
        <v>1354</v>
      </c>
      <c r="M264" s="166">
        <v>2009</v>
      </c>
      <c r="N264" s="887">
        <v>39965</v>
      </c>
      <c r="O264" s="206" t="s">
        <v>1355</v>
      </c>
      <c r="P264" s="27" t="s">
        <v>37</v>
      </c>
      <c r="Q264" s="53"/>
      <c r="R264" s="198" t="s">
        <v>89</v>
      </c>
      <c r="S264" s="198" t="s">
        <v>35</v>
      </c>
      <c r="T264" s="148" t="s">
        <v>35</v>
      </c>
      <c r="U264" s="148" t="s">
        <v>35</v>
      </c>
      <c r="V264" s="148" t="s">
        <v>35</v>
      </c>
      <c r="W264" s="204" t="s">
        <v>66</v>
      </c>
      <c r="X264" s="198" t="s">
        <v>411</v>
      </c>
      <c r="Y264" s="198">
        <v>7945</v>
      </c>
      <c r="Z264" s="148" t="s">
        <v>1354</v>
      </c>
      <c r="AA264" s="166" t="s">
        <v>91</v>
      </c>
      <c r="AB264" s="166"/>
    </row>
    <row r="265" spans="1:28" ht="39" hidden="1" customHeight="1">
      <c r="A265" s="166">
        <f t="shared" si="4"/>
        <v>224</v>
      </c>
      <c r="B265" s="330" t="s">
        <v>1356</v>
      </c>
      <c r="C265" s="53" t="s">
        <v>1357</v>
      </c>
      <c r="D265" s="148" t="s">
        <v>440</v>
      </c>
      <c r="E265" s="166" t="s">
        <v>441</v>
      </c>
      <c r="F265" s="53" t="s">
        <v>155</v>
      </c>
      <c r="G265" s="148" t="s">
        <v>489</v>
      </c>
      <c r="H265" s="53" t="s">
        <v>490</v>
      </c>
      <c r="I265" s="313">
        <v>163.42179999999999</v>
      </c>
      <c r="J265" s="340">
        <v>0</v>
      </c>
      <c r="K265" s="820">
        <v>163.41999999999999</v>
      </c>
      <c r="L265" s="148" t="s">
        <v>1358</v>
      </c>
      <c r="M265" s="166">
        <v>2009</v>
      </c>
      <c r="N265" s="887">
        <v>40242</v>
      </c>
      <c r="O265" s="206" t="s">
        <v>1359</v>
      </c>
      <c r="P265" s="27" t="s">
        <v>37</v>
      </c>
      <c r="Q265" s="166"/>
      <c r="R265" s="198" t="s">
        <v>89</v>
      </c>
      <c r="S265" s="198" t="s">
        <v>35</v>
      </c>
      <c r="T265" s="148" t="s">
        <v>35</v>
      </c>
      <c r="U265" s="148" t="s">
        <v>35</v>
      </c>
      <c r="V265" s="148" t="s">
        <v>35</v>
      </c>
      <c r="W265" s="204" t="s">
        <v>66</v>
      </c>
      <c r="X265" s="198" t="s">
        <v>493</v>
      </c>
      <c r="Y265" s="198">
        <v>7597</v>
      </c>
      <c r="Z265" s="148" t="s">
        <v>1358</v>
      </c>
      <c r="AA265" s="166" t="s">
        <v>91</v>
      </c>
      <c r="AB265" s="166"/>
    </row>
    <row r="266" spans="1:28" ht="30" hidden="1" customHeight="1">
      <c r="A266" s="166">
        <f t="shared" si="4"/>
        <v>225</v>
      </c>
      <c r="B266" s="47" t="s">
        <v>1360</v>
      </c>
      <c r="C266" s="53" t="s">
        <v>1361</v>
      </c>
      <c r="D266" s="148" t="s">
        <v>440</v>
      </c>
      <c r="E266" s="166" t="s">
        <v>441</v>
      </c>
      <c r="F266" s="53" t="s">
        <v>32</v>
      </c>
      <c r="G266" s="148" t="s">
        <v>1287</v>
      </c>
      <c r="H266" s="53" t="s">
        <v>32</v>
      </c>
      <c r="I266" s="313">
        <v>96.92</v>
      </c>
      <c r="J266" s="340">
        <v>0</v>
      </c>
      <c r="K266" s="820">
        <v>96.92</v>
      </c>
      <c r="L266" s="148" t="s">
        <v>1362</v>
      </c>
      <c r="M266" s="166">
        <v>2010</v>
      </c>
      <c r="N266" s="887">
        <v>40291</v>
      </c>
      <c r="O266" s="206" t="s">
        <v>1363</v>
      </c>
      <c r="P266" s="27" t="s">
        <v>37</v>
      </c>
      <c r="Q266" s="53"/>
      <c r="R266" s="198" t="s">
        <v>89</v>
      </c>
      <c r="S266" s="198" t="s">
        <v>35</v>
      </c>
      <c r="T266" s="148" t="s">
        <v>35</v>
      </c>
      <c r="U266" s="148" t="s">
        <v>35</v>
      </c>
      <c r="V266" s="148" t="s">
        <v>35</v>
      </c>
      <c r="W266" s="204" t="s">
        <v>66</v>
      </c>
      <c r="X266" s="198" t="s">
        <v>1152</v>
      </c>
      <c r="Y266" s="198">
        <v>8200</v>
      </c>
      <c r="Z266" s="148" t="s">
        <v>1362</v>
      </c>
      <c r="AA266" s="166" t="s">
        <v>91</v>
      </c>
      <c r="AB266" s="166"/>
    </row>
    <row r="267" spans="1:28" ht="48.75" hidden="1" customHeight="1">
      <c r="A267" s="166">
        <f t="shared" si="4"/>
        <v>226</v>
      </c>
      <c r="B267" s="330" t="s">
        <v>1364</v>
      </c>
      <c r="C267" s="53" t="s">
        <v>1365</v>
      </c>
      <c r="D267" s="148" t="s">
        <v>496</v>
      </c>
      <c r="E267" s="166" t="s">
        <v>497</v>
      </c>
      <c r="F267" s="53" t="s">
        <v>164</v>
      </c>
      <c r="G267" s="148" t="s">
        <v>1366</v>
      </c>
      <c r="H267" s="53" t="s">
        <v>348</v>
      </c>
      <c r="I267" s="313">
        <v>218.3536</v>
      </c>
      <c r="J267" s="318">
        <v>218.3536</v>
      </c>
      <c r="K267" s="820">
        <v>218.3536</v>
      </c>
      <c r="L267" s="148" t="s">
        <v>1367</v>
      </c>
      <c r="M267" s="166">
        <v>2010</v>
      </c>
      <c r="N267" s="887">
        <v>40413</v>
      </c>
      <c r="O267" s="53" t="s">
        <v>1368</v>
      </c>
      <c r="P267" s="27" t="s">
        <v>37</v>
      </c>
      <c r="Q267" s="53"/>
      <c r="R267" s="198" t="s">
        <v>89</v>
      </c>
      <c r="S267" s="198" t="s">
        <v>35</v>
      </c>
      <c r="T267" s="148" t="s">
        <v>35</v>
      </c>
      <c r="U267" s="148" t="s">
        <v>35</v>
      </c>
      <c r="V267" s="148" t="s">
        <v>35</v>
      </c>
      <c r="W267" s="204" t="s">
        <v>66</v>
      </c>
      <c r="X267" s="27" t="s">
        <v>112</v>
      </c>
      <c r="Y267" s="27" t="s">
        <v>1369</v>
      </c>
      <c r="Z267" s="148" t="s">
        <v>1370</v>
      </c>
      <c r="AA267" s="166" t="s">
        <v>91</v>
      </c>
      <c r="AB267" s="166"/>
    </row>
    <row r="268" spans="1:28" ht="56.25" hidden="1" customHeight="1">
      <c r="A268" s="166">
        <f t="shared" si="4"/>
        <v>227</v>
      </c>
      <c r="B268" s="47" t="s">
        <v>1371</v>
      </c>
      <c r="C268" s="53" t="s">
        <v>1372</v>
      </c>
      <c r="D268" s="148" t="s">
        <v>496</v>
      </c>
      <c r="E268" s="166" t="s">
        <v>497</v>
      </c>
      <c r="F268" s="53" t="s">
        <v>155</v>
      </c>
      <c r="G268" s="148" t="s">
        <v>1373</v>
      </c>
      <c r="H268" s="53" t="s">
        <v>197</v>
      </c>
      <c r="I268" s="313">
        <v>153.72999999999999</v>
      </c>
      <c r="J268" s="318">
        <v>153.72999999999999</v>
      </c>
      <c r="K268" s="820">
        <v>153.72999999999999</v>
      </c>
      <c r="L268" s="148" t="s">
        <v>1374</v>
      </c>
      <c r="M268" s="166">
        <v>2010</v>
      </c>
      <c r="N268" s="887">
        <v>40413</v>
      </c>
      <c r="O268" s="53" t="s">
        <v>1375</v>
      </c>
      <c r="P268" s="27" t="s">
        <v>37</v>
      </c>
      <c r="Q268" s="53"/>
      <c r="R268" s="198" t="s">
        <v>89</v>
      </c>
      <c r="S268" s="198" t="s">
        <v>35</v>
      </c>
      <c r="T268" s="148" t="s">
        <v>35</v>
      </c>
      <c r="U268" s="148" t="s">
        <v>35</v>
      </c>
      <c r="V268" s="148" t="s">
        <v>35</v>
      </c>
      <c r="W268" s="204" t="s">
        <v>66</v>
      </c>
      <c r="X268" s="27" t="s">
        <v>112</v>
      </c>
      <c r="Y268" s="27">
        <v>8422</v>
      </c>
      <c r="Z268" s="148" t="s">
        <v>1374</v>
      </c>
      <c r="AA268" s="166" t="s">
        <v>91</v>
      </c>
      <c r="AB268" s="166"/>
    </row>
    <row r="269" spans="1:28" ht="30" hidden="1" customHeight="1">
      <c r="A269" s="166">
        <f t="shared" si="4"/>
        <v>228</v>
      </c>
      <c r="B269" s="938" t="s">
        <v>1376</v>
      </c>
      <c r="C269" s="53" t="s">
        <v>1377</v>
      </c>
      <c r="D269" s="148" t="s">
        <v>496</v>
      </c>
      <c r="E269" s="166" t="s">
        <v>497</v>
      </c>
      <c r="F269" s="53" t="s">
        <v>164</v>
      </c>
      <c r="G269" s="148" t="s">
        <v>1378</v>
      </c>
      <c r="H269" s="53" t="s">
        <v>348</v>
      </c>
      <c r="I269" s="313">
        <v>1797.39</v>
      </c>
      <c r="J269" s="318">
        <v>1797.39</v>
      </c>
      <c r="K269" s="820">
        <v>1797.39</v>
      </c>
      <c r="L269" s="148" t="s">
        <v>1379</v>
      </c>
      <c r="M269" s="166">
        <v>2010</v>
      </c>
      <c r="N269" s="887">
        <v>40434</v>
      </c>
      <c r="O269" s="53" t="s">
        <v>1380</v>
      </c>
      <c r="P269" s="27" t="s">
        <v>37</v>
      </c>
      <c r="Q269" s="53"/>
      <c r="R269" s="198" t="s">
        <v>89</v>
      </c>
      <c r="S269" s="198" t="s">
        <v>35</v>
      </c>
      <c r="T269" s="148" t="s">
        <v>35</v>
      </c>
      <c r="U269" s="148" t="s">
        <v>35</v>
      </c>
      <c r="V269" s="148" t="s">
        <v>35</v>
      </c>
      <c r="W269" s="204" t="s">
        <v>66</v>
      </c>
      <c r="X269" s="27" t="s">
        <v>112</v>
      </c>
      <c r="Y269" s="27">
        <v>8255</v>
      </c>
      <c r="Z269" s="148" t="s">
        <v>1379</v>
      </c>
      <c r="AA269" s="166" t="s">
        <v>91</v>
      </c>
      <c r="AB269" s="166"/>
    </row>
    <row r="270" spans="1:28" ht="25.5" hidden="1">
      <c r="A270" s="166">
        <f t="shared" si="4"/>
        <v>229</v>
      </c>
      <c r="B270" s="330" t="s">
        <v>1381</v>
      </c>
      <c r="C270" s="53" t="s">
        <v>1382</v>
      </c>
      <c r="D270" s="148" t="s">
        <v>440</v>
      </c>
      <c r="E270" s="166" t="s">
        <v>441</v>
      </c>
      <c r="F270" s="53" t="s">
        <v>180</v>
      </c>
      <c r="G270" s="148" t="s">
        <v>683</v>
      </c>
      <c r="H270" s="53" t="s">
        <v>394</v>
      </c>
      <c r="I270" s="313">
        <v>86.27</v>
      </c>
      <c r="J270" s="340">
        <v>0</v>
      </c>
      <c r="K270" s="820">
        <v>86.27</v>
      </c>
      <c r="L270" s="148" t="s">
        <v>1383</v>
      </c>
      <c r="M270" s="166">
        <v>2010</v>
      </c>
      <c r="N270" s="887">
        <v>40505</v>
      </c>
      <c r="O270" s="206" t="s">
        <v>1384</v>
      </c>
      <c r="P270" s="27" t="s">
        <v>37</v>
      </c>
      <c r="Q270" s="53"/>
      <c r="R270" s="198" t="s">
        <v>89</v>
      </c>
      <c r="S270" s="198" t="s">
        <v>35</v>
      </c>
      <c r="T270" s="148" t="s">
        <v>35</v>
      </c>
      <c r="U270" s="148" t="s">
        <v>35</v>
      </c>
      <c r="V270" s="148" t="s">
        <v>35</v>
      </c>
      <c r="W270" s="204" t="s">
        <v>66</v>
      </c>
      <c r="X270" s="198" t="s">
        <v>1385</v>
      </c>
      <c r="Y270" s="198">
        <v>8060</v>
      </c>
      <c r="Z270" s="148" t="s">
        <v>1383</v>
      </c>
      <c r="AA270" s="166" t="s">
        <v>91</v>
      </c>
      <c r="AB270" s="166"/>
    </row>
    <row r="271" spans="1:28" ht="30" hidden="1" customHeight="1">
      <c r="A271" s="166">
        <f t="shared" si="4"/>
        <v>230</v>
      </c>
      <c r="B271" s="47" t="s">
        <v>1386</v>
      </c>
      <c r="C271" s="53" t="s">
        <v>1387</v>
      </c>
      <c r="D271" s="148" t="s">
        <v>440</v>
      </c>
      <c r="E271" s="166" t="s">
        <v>441</v>
      </c>
      <c r="F271" s="53" t="s">
        <v>180</v>
      </c>
      <c r="G271" s="148" t="s">
        <v>635</v>
      </c>
      <c r="H271" s="53" t="s">
        <v>394</v>
      </c>
      <c r="I271" s="313">
        <v>17.920000000000002</v>
      </c>
      <c r="J271" s="340">
        <v>0</v>
      </c>
      <c r="K271" s="820">
        <v>17.920000000000002</v>
      </c>
      <c r="L271" s="148" t="s">
        <v>1388</v>
      </c>
      <c r="M271" s="166">
        <v>2010</v>
      </c>
      <c r="N271" s="887">
        <v>40505</v>
      </c>
      <c r="O271" s="206" t="s">
        <v>1389</v>
      </c>
      <c r="P271" s="27" t="s">
        <v>37</v>
      </c>
      <c r="Q271" s="53"/>
      <c r="R271" s="198" t="s">
        <v>89</v>
      </c>
      <c r="S271" s="198" t="s">
        <v>35</v>
      </c>
      <c r="T271" s="148" t="s">
        <v>35</v>
      </c>
      <c r="U271" s="148" t="s">
        <v>35</v>
      </c>
      <c r="V271" s="148" t="s">
        <v>35</v>
      </c>
      <c r="W271" s="204" t="s">
        <v>66</v>
      </c>
      <c r="X271" s="198" t="s">
        <v>1080</v>
      </c>
      <c r="Y271" s="198">
        <v>8062</v>
      </c>
      <c r="Z271" s="148" t="s">
        <v>1388</v>
      </c>
      <c r="AA271" s="166" t="s">
        <v>91</v>
      </c>
      <c r="AB271" s="166"/>
    </row>
    <row r="272" spans="1:28" ht="30" hidden="1" customHeight="1">
      <c r="A272" s="166">
        <f t="shared" si="4"/>
        <v>231</v>
      </c>
      <c r="B272" s="330" t="s">
        <v>1390</v>
      </c>
      <c r="C272" s="53" t="s">
        <v>1391</v>
      </c>
      <c r="D272" s="148" t="s">
        <v>440</v>
      </c>
      <c r="E272" s="166" t="s">
        <v>441</v>
      </c>
      <c r="F272" s="148" t="s">
        <v>201</v>
      </c>
      <c r="G272" s="148" t="s">
        <v>1138</v>
      </c>
      <c r="H272" s="53" t="s">
        <v>203</v>
      </c>
      <c r="I272" s="313">
        <v>6</v>
      </c>
      <c r="J272" s="318">
        <v>6</v>
      </c>
      <c r="K272" s="820">
        <v>6</v>
      </c>
      <c r="L272" s="148" t="s">
        <v>1392</v>
      </c>
      <c r="M272" s="166">
        <v>2010</v>
      </c>
      <c r="N272" s="887">
        <v>40487</v>
      </c>
      <c r="O272" s="206" t="s">
        <v>1393</v>
      </c>
      <c r="P272" s="27" t="s">
        <v>37</v>
      </c>
      <c r="Q272" s="53"/>
      <c r="R272" s="198" t="s">
        <v>89</v>
      </c>
      <c r="S272" s="198" t="s">
        <v>35</v>
      </c>
      <c r="T272" s="148" t="s">
        <v>35</v>
      </c>
      <c r="U272" s="148" t="s">
        <v>35</v>
      </c>
      <c r="V272" s="148" t="s">
        <v>35</v>
      </c>
      <c r="W272" s="204" t="s">
        <v>66</v>
      </c>
      <c r="X272" s="27" t="s">
        <v>112</v>
      </c>
      <c r="Y272" s="27">
        <v>8404</v>
      </c>
      <c r="Z272" s="148" t="s">
        <v>1392</v>
      </c>
      <c r="AA272" s="166" t="s">
        <v>91</v>
      </c>
      <c r="AB272" s="166"/>
    </row>
    <row r="273" spans="1:28" ht="30" hidden="1" customHeight="1">
      <c r="A273" s="166">
        <f t="shared" si="4"/>
        <v>232</v>
      </c>
      <c r="B273" s="47" t="s">
        <v>1394</v>
      </c>
      <c r="C273" s="53" t="s">
        <v>1395</v>
      </c>
      <c r="D273" s="148" t="s">
        <v>496</v>
      </c>
      <c r="E273" s="166" t="s">
        <v>497</v>
      </c>
      <c r="F273" s="53" t="s">
        <v>155</v>
      </c>
      <c r="G273" s="148" t="s">
        <v>1396</v>
      </c>
      <c r="H273" s="53" t="s">
        <v>490</v>
      </c>
      <c r="I273" s="313">
        <v>210.09</v>
      </c>
      <c r="J273" s="340">
        <v>0</v>
      </c>
      <c r="K273" s="820">
        <v>210.09</v>
      </c>
      <c r="L273" s="148" t="s">
        <v>1397</v>
      </c>
      <c r="M273" s="166">
        <v>2010</v>
      </c>
      <c r="N273" s="887">
        <v>40487</v>
      </c>
      <c r="O273" s="53" t="s">
        <v>1398</v>
      </c>
      <c r="P273" s="27" t="s">
        <v>37</v>
      </c>
      <c r="Q273" s="53"/>
      <c r="R273" s="198" t="s">
        <v>89</v>
      </c>
      <c r="S273" s="198" t="s">
        <v>35</v>
      </c>
      <c r="T273" s="148" t="s">
        <v>35</v>
      </c>
      <c r="U273" s="148" t="s">
        <v>35</v>
      </c>
      <c r="V273" s="148" t="s">
        <v>35</v>
      </c>
      <c r="W273" s="204" t="s">
        <v>66</v>
      </c>
      <c r="X273" s="198" t="s">
        <v>493</v>
      </c>
      <c r="Y273" s="198">
        <v>8419</v>
      </c>
      <c r="Z273" s="148" t="s">
        <v>1397</v>
      </c>
      <c r="AA273" s="166" t="s">
        <v>91</v>
      </c>
      <c r="AB273" s="166"/>
    </row>
    <row r="274" spans="1:28" ht="51" hidden="1" customHeight="1">
      <c r="A274" s="166">
        <f t="shared" si="4"/>
        <v>233</v>
      </c>
      <c r="B274" s="330" t="s">
        <v>1399</v>
      </c>
      <c r="C274" s="53" t="s">
        <v>1400</v>
      </c>
      <c r="D274" s="148" t="s">
        <v>496</v>
      </c>
      <c r="E274" s="166" t="s">
        <v>497</v>
      </c>
      <c r="F274" s="53" t="s">
        <v>164</v>
      </c>
      <c r="G274" s="148" t="s">
        <v>1401</v>
      </c>
      <c r="H274" s="53" t="s">
        <v>348</v>
      </c>
      <c r="I274" s="313">
        <v>87</v>
      </c>
      <c r="J274" s="318">
        <v>87</v>
      </c>
      <c r="K274" s="820">
        <v>87</v>
      </c>
      <c r="L274" s="148" t="s">
        <v>1402</v>
      </c>
      <c r="M274" s="166">
        <v>2010</v>
      </c>
      <c r="N274" s="887">
        <v>40507</v>
      </c>
      <c r="O274" s="53" t="s">
        <v>1403</v>
      </c>
      <c r="P274" s="27" t="s">
        <v>37</v>
      </c>
      <c r="Q274" s="53"/>
      <c r="R274" s="198" t="s">
        <v>89</v>
      </c>
      <c r="S274" s="198" t="s">
        <v>35</v>
      </c>
      <c r="T274" s="148" t="s">
        <v>35</v>
      </c>
      <c r="U274" s="148" t="s">
        <v>35</v>
      </c>
      <c r="V274" s="148" t="s">
        <v>35</v>
      </c>
      <c r="W274" s="204" t="s">
        <v>66</v>
      </c>
      <c r="X274" s="27" t="s">
        <v>112</v>
      </c>
      <c r="Y274" s="27">
        <v>8256</v>
      </c>
      <c r="Z274" s="148" t="s">
        <v>1402</v>
      </c>
      <c r="AA274" s="166" t="s">
        <v>91</v>
      </c>
      <c r="AB274" s="166"/>
    </row>
    <row r="275" spans="1:28" ht="30" hidden="1" customHeight="1">
      <c r="A275" s="166">
        <f t="shared" si="4"/>
        <v>234</v>
      </c>
      <c r="B275" s="47" t="s">
        <v>1404</v>
      </c>
      <c r="C275" s="53" t="s">
        <v>1405</v>
      </c>
      <c r="D275" s="148" t="s">
        <v>440</v>
      </c>
      <c r="E275" s="166" t="s">
        <v>441</v>
      </c>
      <c r="F275" s="53" t="s">
        <v>155</v>
      </c>
      <c r="G275" s="148" t="s">
        <v>374</v>
      </c>
      <c r="H275" s="53" t="s">
        <v>197</v>
      </c>
      <c r="I275" s="313">
        <v>16.399999999999999</v>
      </c>
      <c r="J275" s="318">
        <v>16.399999999999999</v>
      </c>
      <c r="K275" s="820">
        <v>16.399999999999999</v>
      </c>
      <c r="L275" s="148" t="s">
        <v>1406</v>
      </c>
      <c r="M275" s="166">
        <v>2010</v>
      </c>
      <c r="N275" s="887">
        <v>40515</v>
      </c>
      <c r="O275" s="206" t="s">
        <v>1407</v>
      </c>
      <c r="P275" s="27" t="s">
        <v>37</v>
      </c>
      <c r="Q275" s="53"/>
      <c r="R275" s="198" t="s">
        <v>89</v>
      </c>
      <c r="S275" s="198" t="s">
        <v>35</v>
      </c>
      <c r="T275" s="148" t="s">
        <v>35</v>
      </c>
      <c r="U275" s="148" t="s">
        <v>35</v>
      </c>
      <c r="V275" s="148" t="s">
        <v>35</v>
      </c>
      <c r="W275" s="204" t="s">
        <v>66</v>
      </c>
      <c r="X275" s="27" t="s">
        <v>112</v>
      </c>
      <c r="Y275" s="27">
        <v>8402</v>
      </c>
      <c r="Z275" s="148" t="s">
        <v>1406</v>
      </c>
      <c r="AA275" s="166" t="s">
        <v>91</v>
      </c>
      <c r="AB275" s="166"/>
    </row>
    <row r="276" spans="1:28" ht="30" hidden="1" customHeight="1">
      <c r="A276" s="166">
        <f t="shared" si="4"/>
        <v>235</v>
      </c>
      <c r="B276" s="330" t="s">
        <v>1408</v>
      </c>
      <c r="C276" s="53" t="s">
        <v>1409</v>
      </c>
      <c r="D276" s="148" t="s">
        <v>496</v>
      </c>
      <c r="E276" s="166" t="s">
        <v>497</v>
      </c>
      <c r="F276" s="53" t="s">
        <v>32</v>
      </c>
      <c r="G276" s="148" t="s">
        <v>767</v>
      </c>
      <c r="H276" s="53" t="s">
        <v>32</v>
      </c>
      <c r="I276" s="313">
        <v>8</v>
      </c>
      <c r="J276" s="340">
        <v>0</v>
      </c>
      <c r="K276" s="820">
        <v>8</v>
      </c>
      <c r="L276" s="940" t="s">
        <v>1410</v>
      </c>
      <c r="M276" s="166">
        <v>2010</v>
      </c>
      <c r="N276" s="887">
        <v>40364</v>
      </c>
      <c r="O276" s="53" t="s">
        <v>1319</v>
      </c>
      <c r="P276" s="27" t="s">
        <v>37</v>
      </c>
      <c r="Q276" s="53"/>
      <c r="R276" s="198" t="s">
        <v>89</v>
      </c>
      <c r="S276" s="198" t="s">
        <v>35</v>
      </c>
      <c r="T276" s="148" t="s">
        <v>35</v>
      </c>
      <c r="U276" s="148" t="s">
        <v>35</v>
      </c>
      <c r="V276" s="148" t="s">
        <v>35</v>
      </c>
      <c r="W276" s="204" t="s">
        <v>66</v>
      </c>
      <c r="X276" s="198" t="s">
        <v>43</v>
      </c>
      <c r="Y276" s="198">
        <v>7449</v>
      </c>
      <c r="Z276" s="940" t="s">
        <v>1410</v>
      </c>
      <c r="AA276" s="166" t="s">
        <v>91</v>
      </c>
      <c r="AB276" s="166"/>
    </row>
    <row r="277" spans="1:28" ht="30" hidden="1" customHeight="1">
      <c r="A277" s="166">
        <f t="shared" si="4"/>
        <v>236</v>
      </c>
      <c r="B277" s="47" t="s">
        <v>1411</v>
      </c>
      <c r="C277" s="53" t="s">
        <v>1412</v>
      </c>
      <c r="D277" s="148" t="s">
        <v>440</v>
      </c>
      <c r="E277" s="166" t="s">
        <v>441</v>
      </c>
      <c r="F277" s="53" t="s">
        <v>180</v>
      </c>
      <c r="G277" s="148" t="s">
        <v>603</v>
      </c>
      <c r="H277" s="53" t="s">
        <v>394</v>
      </c>
      <c r="I277" s="313">
        <v>8.64</v>
      </c>
      <c r="J277" s="318">
        <v>8.64</v>
      </c>
      <c r="K277" s="820">
        <v>8.64</v>
      </c>
      <c r="L277" s="940" t="s">
        <v>1413</v>
      </c>
      <c r="M277" s="166">
        <v>2010</v>
      </c>
      <c r="N277" s="887">
        <v>40365</v>
      </c>
      <c r="O277" s="206" t="s">
        <v>1414</v>
      </c>
      <c r="P277" s="27" t="s">
        <v>37</v>
      </c>
      <c r="Q277" s="53"/>
      <c r="R277" s="198" t="s">
        <v>89</v>
      </c>
      <c r="S277" s="198" t="s">
        <v>35</v>
      </c>
      <c r="T277" s="148" t="s">
        <v>35</v>
      </c>
      <c r="U277" s="148" t="s">
        <v>35</v>
      </c>
      <c r="V277" s="148" t="s">
        <v>35</v>
      </c>
      <c r="W277" s="204" t="s">
        <v>66</v>
      </c>
      <c r="X277" s="27" t="s">
        <v>112</v>
      </c>
      <c r="Y277" s="27">
        <v>7803</v>
      </c>
      <c r="Z277" s="940" t="s">
        <v>1413</v>
      </c>
      <c r="AA277" s="166" t="s">
        <v>91</v>
      </c>
      <c r="AB277" s="166"/>
    </row>
    <row r="278" spans="1:28" ht="30" hidden="1" customHeight="1">
      <c r="A278" s="166">
        <f t="shared" si="4"/>
        <v>237</v>
      </c>
      <c r="B278" s="330" t="s">
        <v>1415</v>
      </c>
      <c r="C278" s="873" t="s">
        <v>1416</v>
      </c>
      <c r="D278" s="148" t="s">
        <v>496</v>
      </c>
      <c r="E278" s="874" t="s">
        <v>497</v>
      </c>
      <c r="F278" s="872" t="s">
        <v>535</v>
      </c>
      <c r="G278" s="873" t="s">
        <v>1417</v>
      </c>
      <c r="H278" s="872" t="s">
        <v>813</v>
      </c>
      <c r="I278" s="880">
        <v>291.73</v>
      </c>
      <c r="J278" s="881">
        <v>291.73</v>
      </c>
      <c r="K278" s="882">
        <v>291.73</v>
      </c>
      <c r="L278" s="941" t="s">
        <v>1418</v>
      </c>
      <c r="M278" s="874">
        <v>2010</v>
      </c>
      <c r="N278" s="887">
        <v>40479</v>
      </c>
      <c r="O278" s="872" t="s">
        <v>1419</v>
      </c>
      <c r="P278" s="896" t="s">
        <v>37</v>
      </c>
      <c r="Q278" s="53"/>
      <c r="R278" s="198" t="s">
        <v>89</v>
      </c>
      <c r="S278" s="198" t="s">
        <v>35</v>
      </c>
      <c r="T278" s="148" t="s">
        <v>35</v>
      </c>
      <c r="U278" s="148" t="s">
        <v>35</v>
      </c>
      <c r="V278" s="148" t="s">
        <v>35</v>
      </c>
      <c r="W278" s="204" t="s">
        <v>66</v>
      </c>
      <c r="X278" s="27" t="s">
        <v>112</v>
      </c>
      <c r="Y278" s="896">
        <v>8521</v>
      </c>
      <c r="Z278" s="941" t="s">
        <v>1418</v>
      </c>
      <c r="AA278" s="166" t="s">
        <v>91</v>
      </c>
      <c r="AB278" s="166"/>
    </row>
    <row r="279" spans="1:28" ht="30" hidden="1" customHeight="1">
      <c r="A279" s="166">
        <f t="shared" si="4"/>
        <v>238</v>
      </c>
      <c r="B279" s="47" t="s">
        <v>1420</v>
      </c>
      <c r="C279" s="53" t="s">
        <v>1421</v>
      </c>
      <c r="D279" s="148" t="s">
        <v>496</v>
      </c>
      <c r="E279" s="166" t="s">
        <v>497</v>
      </c>
      <c r="F279" s="53" t="s">
        <v>535</v>
      </c>
      <c r="G279" s="148" t="s">
        <v>1417</v>
      </c>
      <c r="H279" s="53" t="s">
        <v>813</v>
      </c>
      <c r="I279" s="313">
        <v>97.4</v>
      </c>
      <c r="J279" s="318">
        <v>97.4</v>
      </c>
      <c r="K279" s="820">
        <v>97.4</v>
      </c>
      <c r="L279" s="148" t="s">
        <v>1422</v>
      </c>
      <c r="M279" s="166">
        <v>2010</v>
      </c>
      <c r="N279" s="887">
        <v>40546</v>
      </c>
      <c r="O279" s="53" t="s">
        <v>1419</v>
      </c>
      <c r="P279" s="27" t="s">
        <v>37</v>
      </c>
      <c r="Q279" s="53"/>
      <c r="R279" s="198" t="s">
        <v>89</v>
      </c>
      <c r="S279" s="198" t="s">
        <v>35</v>
      </c>
      <c r="T279" s="148" t="s">
        <v>35</v>
      </c>
      <c r="U279" s="148" t="s">
        <v>35</v>
      </c>
      <c r="V279" s="148" t="s">
        <v>35</v>
      </c>
      <c r="W279" s="204" t="s">
        <v>66</v>
      </c>
      <c r="X279" s="27" t="s">
        <v>112</v>
      </c>
      <c r="Y279" s="27">
        <v>8519</v>
      </c>
      <c r="Z279" s="148" t="s">
        <v>1422</v>
      </c>
      <c r="AA279" s="166" t="s">
        <v>91</v>
      </c>
      <c r="AB279" s="166"/>
    </row>
    <row r="280" spans="1:28" ht="30" hidden="1" customHeight="1">
      <c r="A280" s="166">
        <f t="shared" si="4"/>
        <v>239</v>
      </c>
      <c r="B280" s="330" t="s">
        <v>1423</v>
      </c>
      <c r="C280" s="53" t="s">
        <v>1424</v>
      </c>
      <c r="D280" s="148" t="s">
        <v>440</v>
      </c>
      <c r="E280" s="166" t="s">
        <v>441</v>
      </c>
      <c r="F280" s="53" t="s">
        <v>180</v>
      </c>
      <c r="G280" s="148" t="s">
        <v>1425</v>
      </c>
      <c r="H280" s="53" t="s">
        <v>182</v>
      </c>
      <c r="I280" s="313">
        <v>27.5</v>
      </c>
      <c r="J280" s="318">
        <v>27.5</v>
      </c>
      <c r="K280" s="820">
        <v>27.5</v>
      </c>
      <c r="L280" s="148" t="s">
        <v>1426</v>
      </c>
      <c r="M280" s="166">
        <v>2010</v>
      </c>
      <c r="N280" s="887">
        <v>40554</v>
      </c>
      <c r="O280" s="206" t="s">
        <v>1427</v>
      </c>
      <c r="P280" s="27" t="s">
        <v>37</v>
      </c>
      <c r="Q280" s="53"/>
      <c r="R280" s="198" t="s">
        <v>89</v>
      </c>
      <c r="S280" s="198" t="s">
        <v>35</v>
      </c>
      <c r="T280" s="148" t="s">
        <v>35</v>
      </c>
      <c r="U280" s="148" t="s">
        <v>35</v>
      </c>
      <c r="V280" s="148" t="s">
        <v>35</v>
      </c>
      <c r="W280" s="204" t="s">
        <v>66</v>
      </c>
      <c r="X280" s="27" t="s">
        <v>112</v>
      </c>
      <c r="Y280" s="27">
        <v>8059</v>
      </c>
      <c r="Z280" s="148" t="s">
        <v>1426</v>
      </c>
      <c r="AA280" s="166" t="s">
        <v>91</v>
      </c>
      <c r="AB280" s="166"/>
    </row>
    <row r="281" spans="1:28" ht="30" hidden="1" customHeight="1">
      <c r="A281" s="166">
        <f t="shared" si="4"/>
        <v>240</v>
      </c>
      <c r="B281" s="47" t="s">
        <v>1428</v>
      </c>
      <c r="C281" s="53" t="s">
        <v>1429</v>
      </c>
      <c r="D281" s="148" t="s">
        <v>496</v>
      </c>
      <c r="E281" s="166" t="s">
        <v>497</v>
      </c>
      <c r="F281" s="53" t="s">
        <v>535</v>
      </c>
      <c r="G281" s="148" t="s">
        <v>1430</v>
      </c>
      <c r="H281" s="53" t="s">
        <v>813</v>
      </c>
      <c r="I281" s="313">
        <v>10.4</v>
      </c>
      <c r="J281" s="318">
        <v>10.4</v>
      </c>
      <c r="K281" s="820">
        <v>10.4</v>
      </c>
      <c r="L281" s="148" t="s">
        <v>1431</v>
      </c>
      <c r="M281" s="166">
        <v>2011</v>
      </c>
      <c r="N281" s="887">
        <v>40561</v>
      </c>
      <c r="O281" s="53" t="s">
        <v>1432</v>
      </c>
      <c r="P281" s="27" t="s">
        <v>37</v>
      </c>
      <c r="Q281" s="53"/>
      <c r="R281" s="198" t="s">
        <v>89</v>
      </c>
      <c r="S281" s="198" t="s">
        <v>35</v>
      </c>
      <c r="T281" s="148" t="s">
        <v>35</v>
      </c>
      <c r="U281" s="148" t="s">
        <v>35</v>
      </c>
      <c r="V281" s="148" t="s">
        <v>35</v>
      </c>
      <c r="W281" s="204" t="s">
        <v>66</v>
      </c>
      <c r="X281" s="27" t="s">
        <v>112</v>
      </c>
      <c r="Y281" s="27">
        <v>8520</v>
      </c>
      <c r="Z281" s="148" t="s">
        <v>1431</v>
      </c>
      <c r="AA281" s="166" t="s">
        <v>91</v>
      </c>
      <c r="AB281" s="166"/>
    </row>
    <row r="282" spans="1:28" ht="30" hidden="1" customHeight="1">
      <c r="A282" s="166">
        <f t="shared" si="4"/>
        <v>241</v>
      </c>
      <c r="B282" s="330" t="s">
        <v>1433</v>
      </c>
      <c r="C282" s="872" t="s">
        <v>1434</v>
      </c>
      <c r="D282" s="873" t="s">
        <v>440</v>
      </c>
      <c r="E282" s="874" t="s">
        <v>441</v>
      </c>
      <c r="F282" s="872" t="s">
        <v>180</v>
      </c>
      <c r="G282" s="873" t="s">
        <v>720</v>
      </c>
      <c r="H282" s="872" t="s">
        <v>182</v>
      </c>
      <c r="I282" s="880">
        <v>7</v>
      </c>
      <c r="J282" s="881">
        <v>7</v>
      </c>
      <c r="K282" s="882">
        <v>7</v>
      </c>
      <c r="L282" s="873" t="s">
        <v>1435</v>
      </c>
      <c r="M282" s="874">
        <v>2010</v>
      </c>
      <c r="N282" s="887">
        <v>40592</v>
      </c>
      <c r="O282" s="884" t="s">
        <v>1436</v>
      </c>
      <c r="P282" s="896" t="s">
        <v>37</v>
      </c>
      <c r="Q282" s="53"/>
      <c r="R282" s="198" t="s">
        <v>89</v>
      </c>
      <c r="S282" s="198" t="s">
        <v>35</v>
      </c>
      <c r="T282" s="148" t="s">
        <v>35</v>
      </c>
      <c r="U282" s="148" t="s">
        <v>35</v>
      </c>
      <c r="V282" s="148" t="s">
        <v>35</v>
      </c>
      <c r="W282" s="204" t="s">
        <v>66</v>
      </c>
      <c r="X282" s="27" t="s">
        <v>112</v>
      </c>
      <c r="Y282" s="896">
        <v>874</v>
      </c>
      <c r="Z282" s="873" t="s">
        <v>1435</v>
      </c>
      <c r="AA282" s="166" t="s">
        <v>91</v>
      </c>
      <c r="AB282" s="166"/>
    </row>
    <row r="283" spans="1:28" ht="30" hidden="1" customHeight="1">
      <c r="A283" s="166">
        <f t="shared" si="4"/>
        <v>242</v>
      </c>
      <c r="B283" s="47" t="s">
        <v>1437</v>
      </c>
      <c r="C283" s="53" t="s">
        <v>1438</v>
      </c>
      <c r="D283" s="148" t="s">
        <v>440</v>
      </c>
      <c r="E283" s="166" t="s">
        <v>441</v>
      </c>
      <c r="F283" s="53" t="s">
        <v>32</v>
      </c>
      <c r="G283" s="148" t="s">
        <v>72</v>
      </c>
      <c r="H283" s="53" t="s">
        <v>32</v>
      </c>
      <c r="I283" s="313">
        <v>36.520000000000003</v>
      </c>
      <c r="J283" s="340">
        <v>0</v>
      </c>
      <c r="K283" s="820">
        <v>36.520000000000003</v>
      </c>
      <c r="L283" s="148" t="s">
        <v>1439</v>
      </c>
      <c r="M283" s="166">
        <v>2011</v>
      </c>
      <c r="N283" s="887">
        <v>40617</v>
      </c>
      <c r="O283" s="206" t="s">
        <v>1440</v>
      </c>
      <c r="P283" s="27" t="s">
        <v>37</v>
      </c>
      <c r="Q283" s="53"/>
      <c r="R283" s="198" t="s">
        <v>89</v>
      </c>
      <c r="S283" s="198" t="s">
        <v>35</v>
      </c>
      <c r="T283" s="148" t="s">
        <v>35</v>
      </c>
      <c r="U283" s="148" t="s">
        <v>35</v>
      </c>
      <c r="V283" s="148" t="s">
        <v>35</v>
      </c>
      <c r="W283" s="204" t="s">
        <v>66</v>
      </c>
      <c r="X283" s="198" t="s">
        <v>43</v>
      </c>
      <c r="Y283" s="198">
        <v>8199</v>
      </c>
      <c r="Z283" s="148" t="s">
        <v>1439</v>
      </c>
      <c r="AA283" s="166" t="s">
        <v>91</v>
      </c>
      <c r="AB283" s="166"/>
    </row>
    <row r="284" spans="1:28" ht="30" hidden="1" customHeight="1">
      <c r="A284" s="166">
        <f t="shared" si="4"/>
        <v>243</v>
      </c>
      <c r="B284" s="330" t="s">
        <v>1441</v>
      </c>
      <c r="C284" s="53" t="s">
        <v>1442</v>
      </c>
      <c r="D284" s="148" t="s">
        <v>440</v>
      </c>
      <c r="E284" s="166" t="s">
        <v>441</v>
      </c>
      <c r="F284" s="53" t="s">
        <v>164</v>
      </c>
      <c r="G284" s="148" t="s">
        <v>1443</v>
      </c>
      <c r="H284" s="53" t="s">
        <v>348</v>
      </c>
      <c r="I284" s="313">
        <v>700</v>
      </c>
      <c r="J284" s="318">
        <v>700</v>
      </c>
      <c r="K284" s="820">
        <v>700</v>
      </c>
      <c r="L284" s="148" t="s">
        <v>1444</v>
      </c>
      <c r="M284" s="166">
        <v>2011</v>
      </c>
      <c r="N284" s="887">
        <v>40678</v>
      </c>
      <c r="O284" s="206" t="s">
        <v>1445</v>
      </c>
      <c r="P284" s="27" t="s">
        <v>37</v>
      </c>
      <c r="Q284" s="53"/>
      <c r="R284" s="198" t="s">
        <v>89</v>
      </c>
      <c r="S284" s="198" t="s">
        <v>35</v>
      </c>
      <c r="T284" s="148" t="s">
        <v>35</v>
      </c>
      <c r="U284" s="148" t="s">
        <v>35</v>
      </c>
      <c r="V284" s="148" t="s">
        <v>35</v>
      </c>
      <c r="W284" s="204" t="s">
        <v>66</v>
      </c>
      <c r="X284" s="27" t="s">
        <v>112</v>
      </c>
      <c r="Y284" s="27">
        <v>7805</v>
      </c>
      <c r="Z284" s="148" t="s">
        <v>1444</v>
      </c>
      <c r="AA284" s="166" t="s">
        <v>91</v>
      </c>
      <c r="AB284" s="166"/>
    </row>
    <row r="285" spans="1:28" ht="30" customHeight="1">
      <c r="A285" s="166">
        <f t="shared" si="4"/>
        <v>244</v>
      </c>
      <c r="B285" s="47" t="s">
        <v>1446</v>
      </c>
      <c r="C285" s="48" t="s">
        <v>1447</v>
      </c>
      <c r="D285" s="148" t="s">
        <v>496</v>
      </c>
      <c r="E285" s="166" t="s">
        <v>497</v>
      </c>
      <c r="F285" s="53" t="s">
        <v>155</v>
      </c>
      <c r="G285" s="148" t="s">
        <v>1233</v>
      </c>
      <c r="H285" s="53" t="s">
        <v>197</v>
      </c>
      <c r="I285" s="313">
        <v>890.55</v>
      </c>
      <c r="J285" s="340">
        <v>0</v>
      </c>
      <c r="K285" s="820">
        <v>890.55</v>
      </c>
      <c r="L285" s="148" t="s">
        <v>1448</v>
      </c>
      <c r="M285" s="166">
        <v>2011</v>
      </c>
      <c r="N285" s="887">
        <v>40678</v>
      </c>
      <c r="O285" s="53" t="s">
        <v>1449</v>
      </c>
      <c r="P285" s="27" t="s">
        <v>37</v>
      </c>
      <c r="Q285" s="53"/>
      <c r="R285" s="194" t="s">
        <v>38</v>
      </c>
      <c r="S285" s="205" t="s">
        <v>276</v>
      </c>
      <c r="T285" s="148" t="s">
        <v>1450</v>
      </c>
      <c r="U285" s="148">
        <v>2015</v>
      </c>
      <c r="V285" s="148" t="s">
        <v>817</v>
      </c>
      <c r="W285" s="204" t="s">
        <v>66</v>
      </c>
      <c r="X285" s="198" t="s">
        <v>1451</v>
      </c>
      <c r="Y285" s="198">
        <v>8512</v>
      </c>
      <c r="Z285" s="148" t="s">
        <v>1448</v>
      </c>
      <c r="AA285" s="166" t="s">
        <v>91</v>
      </c>
      <c r="AB285" s="166"/>
    </row>
    <row r="286" spans="1:28" ht="30" hidden="1" customHeight="1">
      <c r="A286" s="166">
        <f t="shared" si="4"/>
        <v>245</v>
      </c>
      <c r="B286" s="330" t="s">
        <v>1452</v>
      </c>
      <c r="C286" s="53" t="s">
        <v>1453</v>
      </c>
      <c r="D286" s="148" t="s">
        <v>496</v>
      </c>
      <c r="E286" s="166" t="s">
        <v>497</v>
      </c>
      <c r="F286" s="148" t="s">
        <v>201</v>
      </c>
      <c r="G286" s="148" t="s">
        <v>1326</v>
      </c>
      <c r="H286" s="53" t="s">
        <v>726</v>
      </c>
      <c r="I286" s="313">
        <v>280.91000000000003</v>
      </c>
      <c r="J286" s="318">
        <v>280.91000000000003</v>
      </c>
      <c r="K286" s="820">
        <v>280.91000000000003</v>
      </c>
      <c r="L286" s="148" t="s">
        <v>1454</v>
      </c>
      <c r="M286" s="166">
        <v>2011</v>
      </c>
      <c r="N286" s="887">
        <v>40770</v>
      </c>
      <c r="O286" s="53" t="s">
        <v>1455</v>
      </c>
      <c r="P286" s="27" t="s">
        <v>37</v>
      </c>
      <c r="Q286" s="53"/>
      <c r="R286" s="198" t="s">
        <v>89</v>
      </c>
      <c r="S286" s="198" t="s">
        <v>35</v>
      </c>
      <c r="T286" s="148" t="s">
        <v>35</v>
      </c>
      <c r="U286" s="148" t="s">
        <v>35</v>
      </c>
      <c r="V286" s="148" t="s">
        <v>35</v>
      </c>
      <c r="W286" s="204" t="s">
        <v>66</v>
      </c>
      <c r="X286" s="27" t="s">
        <v>112</v>
      </c>
      <c r="Y286" s="27">
        <v>8872</v>
      </c>
      <c r="Z286" s="148" t="s">
        <v>1454</v>
      </c>
      <c r="AA286" s="166" t="s">
        <v>91</v>
      </c>
      <c r="AB286" s="166"/>
    </row>
    <row r="287" spans="1:28" ht="30" hidden="1" customHeight="1">
      <c r="A287" s="166">
        <f t="shared" si="4"/>
        <v>246</v>
      </c>
      <c r="B287" s="47" t="s">
        <v>1456</v>
      </c>
      <c r="C287" s="53" t="s">
        <v>1457</v>
      </c>
      <c r="D287" s="148" t="s">
        <v>440</v>
      </c>
      <c r="E287" s="166" t="s">
        <v>441</v>
      </c>
      <c r="F287" s="148" t="s">
        <v>201</v>
      </c>
      <c r="G287" s="148" t="s">
        <v>203</v>
      </c>
      <c r="H287" s="53" t="s">
        <v>203</v>
      </c>
      <c r="I287" s="313">
        <v>2.72</v>
      </c>
      <c r="J287" s="318">
        <v>2.72</v>
      </c>
      <c r="K287" s="820">
        <v>2.72</v>
      </c>
      <c r="L287" s="148" t="s">
        <v>1458</v>
      </c>
      <c r="M287" s="166">
        <v>2011</v>
      </c>
      <c r="N287" s="887">
        <v>40826</v>
      </c>
      <c r="O287" s="206" t="s">
        <v>1459</v>
      </c>
      <c r="P287" s="27" t="s">
        <v>37</v>
      </c>
      <c r="Q287" s="53"/>
      <c r="R287" s="198" t="s">
        <v>89</v>
      </c>
      <c r="S287" s="198" t="s">
        <v>35</v>
      </c>
      <c r="T287" s="148" t="s">
        <v>35</v>
      </c>
      <c r="U287" s="148" t="s">
        <v>35</v>
      </c>
      <c r="V287" s="148" t="s">
        <v>35</v>
      </c>
      <c r="W287" s="204" t="s">
        <v>66</v>
      </c>
      <c r="X287" s="27" t="s">
        <v>112</v>
      </c>
      <c r="Y287" s="27">
        <v>8833</v>
      </c>
      <c r="Z287" s="148" t="s">
        <v>1458</v>
      </c>
      <c r="AA287" s="166" t="s">
        <v>91</v>
      </c>
      <c r="AB287" s="166"/>
    </row>
    <row r="288" spans="1:28" ht="30" hidden="1" customHeight="1">
      <c r="A288" s="166">
        <f t="shared" si="4"/>
        <v>247</v>
      </c>
      <c r="B288" s="330" t="s">
        <v>1460</v>
      </c>
      <c r="C288" s="53" t="s">
        <v>1461</v>
      </c>
      <c r="D288" s="148" t="s">
        <v>496</v>
      </c>
      <c r="E288" s="166" t="s">
        <v>497</v>
      </c>
      <c r="F288" s="53" t="s">
        <v>155</v>
      </c>
      <c r="G288" s="148" t="s">
        <v>1462</v>
      </c>
      <c r="H288" s="53" t="s">
        <v>490</v>
      </c>
      <c r="I288" s="313">
        <v>69.78</v>
      </c>
      <c r="J288" s="318">
        <v>69.78</v>
      </c>
      <c r="K288" s="820">
        <v>69.78</v>
      </c>
      <c r="L288" s="148" t="s">
        <v>1463</v>
      </c>
      <c r="M288" s="166">
        <v>2011</v>
      </c>
      <c r="N288" s="887">
        <v>40906</v>
      </c>
      <c r="O288" s="53" t="s">
        <v>1464</v>
      </c>
      <c r="P288" s="27" t="s">
        <v>37</v>
      </c>
      <c r="Q288" s="53"/>
      <c r="R288" s="198" t="s">
        <v>89</v>
      </c>
      <c r="S288" s="198" t="s">
        <v>35</v>
      </c>
      <c r="T288" s="148" t="s">
        <v>35</v>
      </c>
      <c r="U288" s="148" t="s">
        <v>35</v>
      </c>
      <c r="V288" s="148" t="s">
        <v>35</v>
      </c>
      <c r="W288" s="204" t="s">
        <v>66</v>
      </c>
      <c r="X288" s="27" t="s">
        <v>112</v>
      </c>
      <c r="Y288" s="27">
        <v>8738</v>
      </c>
      <c r="Z288" s="148" t="s">
        <v>1463</v>
      </c>
      <c r="AA288" s="166" t="s">
        <v>91</v>
      </c>
      <c r="AB288" s="166"/>
    </row>
    <row r="289" spans="1:28" ht="38.25" hidden="1" customHeight="1">
      <c r="A289" s="166">
        <f t="shared" si="4"/>
        <v>248</v>
      </c>
      <c r="B289" s="47" t="s">
        <v>1465</v>
      </c>
      <c r="C289" s="53" t="s">
        <v>1466</v>
      </c>
      <c r="D289" s="148" t="s">
        <v>440</v>
      </c>
      <c r="E289" s="166" t="s">
        <v>441</v>
      </c>
      <c r="F289" s="53" t="s">
        <v>164</v>
      </c>
      <c r="G289" s="148" t="s">
        <v>1467</v>
      </c>
      <c r="H289" s="53" t="s">
        <v>165</v>
      </c>
      <c r="I289" s="313">
        <v>45.01</v>
      </c>
      <c r="J289" s="318">
        <v>45.01</v>
      </c>
      <c r="K289" s="820">
        <v>45.01</v>
      </c>
      <c r="L289" s="148" t="s">
        <v>1468</v>
      </c>
      <c r="M289" s="166">
        <v>2012</v>
      </c>
      <c r="N289" s="887">
        <v>40926</v>
      </c>
      <c r="O289" s="206" t="s">
        <v>1469</v>
      </c>
      <c r="P289" s="27" t="s">
        <v>37</v>
      </c>
      <c r="Q289" s="148"/>
      <c r="R289" s="198" t="s">
        <v>89</v>
      </c>
      <c r="S289" s="198" t="s">
        <v>35</v>
      </c>
      <c r="T289" s="148" t="s">
        <v>35</v>
      </c>
      <c r="U289" s="148" t="s">
        <v>35</v>
      </c>
      <c r="V289" s="148" t="s">
        <v>35</v>
      </c>
      <c r="W289" s="204" t="s">
        <v>66</v>
      </c>
      <c r="X289" s="27" t="s">
        <v>112</v>
      </c>
      <c r="Y289" s="27">
        <v>9217</v>
      </c>
      <c r="Z289" s="148" t="s">
        <v>1468</v>
      </c>
      <c r="AA289" s="166" t="s">
        <v>91</v>
      </c>
      <c r="AB289" s="166"/>
    </row>
    <row r="290" spans="1:28" ht="30" hidden="1" customHeight="1">
      <c r="A290" s="166">
        <f t="shared" si="4"/>
        <v>249</v>
      </c>
      <c r="B290" s="330" t="s">
        <v>1470</v>
      </c>
      <c r="C290" s="53" t="s">
        <v>1471</v>
      </c>
      <c r="D290" s="148" t="s">
        <v>440</v>
      </c>
      <c r="E290" s="166" t="s">
        <v>441</v>
      </c>
      <c r="F290" s="53" t="s">
        <v>164</v>
      </c>
      <c r="G290" s="148" t="s">
        <v>1467</v>
      </c>
      <c r="H290" s="53" t="s">
        <v>165</v>
      </c>
      <c r="I290" s="313">
        <v>9.7100000000000009</v>
      </c>
      <c r="J290" s="340">
        <v>0</v>
      </c>
      <c r="K290" s="820">
        <v>9.7100000000000009</v>
      </c>
      <c r="L290" s="148" t="s">
        <v>1472</v>
      </c>
      <c r="M290" s="166">
        <v>2012</v>
      </c>
      <c r="N290" s="887">
        <v>40932</v>
      </c>
      <c r="O290" s="206" t="s">
        <v>1473</v>
      </c>
      <c r="P290" s="27" t="s">
        <v>37</v>
      </c>
      <c r="Q290" s="148"/>
      <c r="R290" s="198" t="s">
        <v>89</v>
      </c>
      <c r="S290" s="198" t="s">
        <v>35</v>
      </c>
      <c r="T290" s="148" t="s">
        <v>35</v>
      </c>
      <c r="U290" s="148" t="s">
        <v>35</v>
      </c>
      <c r="V290" s="148" t="s">
        <v>35</v>
      </c>
      <c r="W290" s="204" t="s">
        <v>66</v>
      </c>
      <c r="X290" s="198" t="s">
        <v>1474</v>
      </c>
      <c r="Y290" s="198">
        <v>8905</v>
      </c>
      <c r="Z290" s="148" t="s">
        <v>1472</v>
      </c>
      <c r="AA290" s="166" t="s">
        <v>91</v>
      </c>
      <c r="AB290" s="166"/>
    </row>
    <row r="291" spans="1:28" ht="30" hidden="1" customHeight="1">
      <c r="A291" s="166">
        <f t="shared" si="4"/>
        <v>250</v>
      </c>
      <c r="B291" s="47" t="s">
        <v>1475</v>
      </c>
      <c r="C291" s="53" t="s">
        <v>1476</v>
      </c>
      <c r="D291" s="148" t="s">
        <v>496</v>
      </c>
      <c r="E291" s="166" t="s">
        <v>497</v>
      </c>
      <c r="F291" s="53" t="s">
        <v>155</v>
      </c>
      <c r="G291" s="148" t="s">
        <v>1477</v>
      </c>
      <c r="H291" s="53" t="s">
        <v>490</v>
      </c>
      <c r="I291" s="313">
        <v>173.94</v>
      </c>
      <c r="J291" s="340">
        <v>0</v>
      </c>
      <c r="K291" s="820">
        <v>173.94</v>
      </c>
      <c r="L291" s="148" t="s">
        <v>1478</v>
      </c>
      <c r="M291" s="166">
        <v>2010</v>
      </c>
      <c r="N291" s="887">
        <v>40973</v>
      </c>
      <c r="O291" s="53" t="s">
        <v>1479</v>
      </c>
      <c r="P291" s="27" t="s">
        <v>37</v>
      </c>
      <c r="Q291" s="53"/>
      <c r="R291" s="198" t="s">
        <v>89</v>
      </c>
      <c r="S291" s="198" t="s">
        <v>35</v>
      </c>
      <c r="T291" s="148" t="s">
        <v>35</v>
      </c>
      <c r="U291" s="148" t="s">
        <v>35</v>
      </c>
      <c r="V291" s="148" t="s">
        <v>35</v>
      </c>
      <c r="W291" s="204" t="s">
        <v>66</v>
      </c>
      <c r="X291" s="198" t="s">
        <v>493</v>
      </c>
      <c r="Y291" s="198">
        <v>8499</v>
      </c>
      <c r="Z291" s="148" t="s">
        <v>1478</v>
      </c>
      <c r="AA291" s="166" t="s">
        <v>91</v>
      </c>
      <c r="AB291" s="166"/>
    </row>
    <row r="292" spans="1:28" ht="30" hidden="1" customHeight="1">
      <c r="A292" s="166">
        <f t="shared" si="4"/>
        <v>251</v>
      </c>
      <c r="B292" s="330" t="s">
        <v>1480</v>
      </c>
      <c r="C292" s="202" t="s">
        <v>1481</v>
      </c>
      <c r="D292" s="148" t="s">
        <v>440</v>
      </c>
      <c r="E292" s="166" t="s">
        <v>441</v>
      </c>
      <c r="F292" s="53" t="s">
        <v>164</v>
      </c>
      <c r="G292" s="148" t="s">
        <v>1271</v>
      </c>
      <c r="H292" s="53" t="s">
        <v>165</v>
      </c>
      <c r="I292" s="313">
        <v>34.86</v>
      </c>
      <c r="J292" s="318">
        <v>34.86</v>
      </c>
      <c r="K292" s="820">
        <v>34.86</v>
      </c>
      <c r="L292" s="148" t="s">
        <v>1482</v>
      </c>
      <c r="M292" s="166">
        <v>2012</v>
      </c>
      <c r="N292" s="887">
        <v>40962</v>
      </c>
      <c r="O292" s="206" t="s">
        <v>1483</v>
      </c>
      <c r="P292" s="27" t="s">
        <v>37</v>
      </c>
      <c r="Q292" s="148"/>
      <c r="R292" s="198" t="s">
        <v>89</v>
      </c>
      <c r="S292" s="28" t="s">
        <v>35</v>
      </c>
      <c r="T292" s="148" t="s">
        <v>35</v>
      </c>
      <c r="U292" s="148" t="s">
        <v>35</v>
      </c>
      <c r="V292" s="148" t="s">
        <v>35</v>
      </c>
      <c r="W292" s="204" t="s">
        <v>66</v>
      </c>
      <c r="X292" s="27" t="s">
        <v>112</v>
      </c>
      <c r="Y292" s="27">
        <v>8904</v>
      </c>
      <c r="Z292" s="148" t="s">
        <v>1482</v>
      </c>
      <c r="AA292" s="166" t="s">
        <v>91</v>
      </c>
      <c r="AB292" s="166"/>
    </row>
    <row r="293" spans="1:28" ht="30" hidden="1" customHeight="1">
      <c r="A293" s="166">
        <f t="shared" si="4"/>
        <v>252</v>
      </c>
      <c r="B293" s="330" t="s">
        <v>1484</v>
      </c>
      <c r="C293" s="53" t="s">
        <v>1485</v>
      </c>
      <c r="D293" s="148" t="s">
        <v>440</v>
      </c>
      <c r="E293" s="166" t="s">
        <v>441</v>
      </c>
      <c r="F293" s="53" t="s">
        <v>155</v>
      </c>
      <c r="G293" s="148" t="s">
        <v>1486</v>
      </c>
      <c r="H293" s="53" t="s">
        <v>197</v>
      </c>
      <c r="I293" s="313">
        <v>48.22</v>
      </c>
      <c r="J293" s="318">
        <v>48.22</v>
      </c>
      <c r="K293" s="820">
        <v>48.22</v>
      </c>
      <c r="L293" s="148" t="s">
        <v>1487</v>
      </c>
      <c r="M293" s="166">
        <v>2012</v>
      </c>
      <c r="N293" s="887">
        <v>41122</v>
      </c>
      <c r="O293" s="206" t="s">
        <v>1488</v>
      </c>
      <c r="P293" s="27" t="s">
        <v>37</v>
      </c>
      <c r="Q293" s="53"/>
      <c r="R293" s="198" t="s">
        <v>89</v>
      </c>
      <c r="S293" s="198" t="s">
        <v>35</v>
      </c>
      <c r="T293" s="148" t="s">
        <v>35</v>
      </c>
      <c r="U293" s="148" t="s">
        <v>35</v>
      </c>
      <c r="V293" s="148" t="s">
        <v>35</v>
      </c>
      <c r="W293" s="204" t="s">
        <v>66</v>
      </c>
      <c r="X293" s="27" t="s">
        <v>112</v>
      </c>
      <c r="Y293" s="27">
        <v>9075</v>
      </c>
      <c r="Z293" s="148" t="s">
        <v>1487</v>
      </c>
      <c r="AA293" s="166" t="s">
        <v>91</v>
      </c>
      <c r="AB293" s="166"/>
    </row>
    <row r="294" spans="1:28" ht="30" hidden="1" customHeight="1">
      <c r="A294" s="166">
        <f t="shared" si="4"/>
        <v>253</v>
      </c>
      <c r="B294" s="47" t="s">
        <v>1489</v>
      </c>
      <c r="C294" s="53" t="s">
        <v>1490</v>
      </c>
      <c r="D294" s="148" t="s">
        <v>496</v>
      </c>
      <c r="E294" s="166" t="s">
        <v>497</v>
      </c>
      <c r="F294" s="53" t="s">
        <v>535</v>
      </c>
      <c r="G294" s="148" t="s">
        <v>1417</v>
      </c>
      <c r="H294" s="53" t="s">
        <v>813</v>
      </c>
      <c r="I294" s="942">
        <v>123.194</v>
      </c>
      <c r="J294" s="943">
        <v>123.194</v>
      </c>
      <c r="K294" s="944">
        <v>123.194</v>
      </c>
      <c r="L294" s="148" t="s">
        <v>1491</v>
      </c>
      <c r="M294" s="166">
        <v>2012</v>
      </c>
      <c r="N294" s="887">
        <v>41155</v>
      </c>
      <c r="O294" s="53" t="s">
        <v>1419</v>
      </c>
      <c r="P294" s="27" t="s">
        <v>37</v>
      </c>
      <c r="Q294" s="53"/>
      <c r="R294" s="198" t="s">
        <v>89</v>
      </c>
      <c r="S294" s="198" t="s">
        <v>35</v>
      </c>
      <c r="T294" s="148" t="s">
        <v>35</v>
      </c>
      <c r="U294" s="148" t="s">
        <v>35</v>
      </c>
      <c r="V294" s="148" t="s">
        <v>35</v>
      </c>
      <c r="W294" s="204" t="s">
        <v>66</v>
      </c>
      <c r="X294" s="27" t="s">
        <v>112</v>
      </c>
      <c r="Y294" s="27">
        <v>9393</v>
      </c>
      <c r="Z294" s="148" t="s">
        <v>1491</v>
      </c>
      <c r="AA294" s="166" t="s">
        <v>91</v>
      </c>
      <c r="AB294" s="166"/>
    </row>
    <row r="295" spans="1:28" ht="30" hidden="1" customHeight="1">
      <c r="A295" s="166">
        <f t="shared" si="4"/>
        <v>254</v>
      </c>
      <c r="B295" s="330" t="s">
        <v>1492</v>
      </c>
      <c r="C295" s="202" t="s">
        <v>1493</v>
      </c>
      <c r="D295" s="148" t="s">
        <v>496</v>
      </c>
      <c r="E295" s="166" t="s">
        <v>497</v>
      </c>
      <c r="F295" s="53" t="s">
        <v>164</v>
      </c>
      <c r="G295" s="148" t="s">
        <v>1494</v>
      </c>
      <c r="H295" s="53" t="s">
        <v>165</v>
      </c>
      <c r="I295" s="313">
        <v>63.45</v>
      </c>
      <c r="J295" s="318">
        <v>63.45</v>
      </c>
      <c r="K295" s="820">
        <v>63.45</v>
      </c>
      <c r="L295" s="148" t="s">
        <v>1495</v>
      </c>
      <c r="M295" s="166">
        <v>2012</v>
      </c>
      <c r="N295" s="887">
        <v>41234</v>
      </c>
      <c r="O295" s="53" t="s">
        <v>1496</v>
      </c>
      <c r="P295" s="27" t="s">
        <v>37</v>
      </c>
      <c r="Q295" s="53"/>
      <c r="R295" s="198" t="s">
        <v>89</v>
      </c>
      <c r="S295" s="28" t="s">
        <v>35</v>
      </c>
      <c r="T295" s="148" t="s">
        <v>35</v>
      </c>
      <c r="U295" s="148" t="s">
        <v>35</v>
      </c>
      <c r="V295" s="148" t="s">
        <v>35</v>
      </c>
      <c r="W295" s="204" t="s">
        <v>66</v>
      </c>
      <c r="X295" s="27" t="s">
        <v>112</v>
      </c>
      <c r="Y295" s="27">
        <v>9493</v>
      </c>
      <c r="Z295" s="148" t="s">
        <v>1495</v>
      </c>
      <c r="AA295" s="166" t="s">
        <v>91</v>
      </c>
      <c r="AB295" s="166"/>
    </row>
    <row r="296" spans="1:28" ht="30" hidden="1" customHeight="1">
      <c r="A296" s="166">
        <f t="shared" si="4"/>
        <v>255</v>
      </c>
      <c r="B296" s="47" t="s">
        <v>1497</v>
      </c>
      <c r="C296" s="53" t="s">
        <v>1498</v>
      </c>
      <c r="D296" s="148" t="s">
        <v>440</v>
      </c>
      <c r="E296" s="166" t="s">
        <v>441</v>
      </c>
      <c r="F296" s="53" t="s">
        <v>535</v>
      </c>
      <c r="G296" s="148" t="s">
        <v>1499</v>
      </c>
      <c r="H296" s="53" t="s">
        <v>813</v>
      </c>
      <c r="I296" s="313">
        <v>219.41</v>
      </c>
      <c r="J296" s="318">
        <v>219.41</v>
      </c>
      <c r="K296" s="820">
        <v>219.41</v>
      </c>
      <c r="L296" s="148" t="s">
        <v>1500</v>
      </c>
      <c r="M296" s="166">
        <v>2012</v>
      </c>
      <c r="N296" s="887">
        <v>41234</v>
      </c>
      <c r="O296" s="206" t="s">
        <v>1501</v>
      </c>
      <c r="P296" s="27" t="s">
        <v>37</v>
      </c>
      <c r="Q296" s="148"/>
      <c r="R296" s="198" t="s">
        <v>89</v>
      </c>
      <c r="S296" s="198" t="s">
        <v>35</v>
      </c>
      <c r="T296" s="148" t="s">
        <v>35</v>
      </c>
      <c r="U296" s="148" t="s">
        <v>35</v>
      </c>
      <c r="V296" s="148" t="s">
        <v>35</v>
      </c>
      <c r="W296" s="204" t="s">
        <v>66</v>
      </c>
      <c r="X296" s="27" t="s">
        <v>112</v>
      </c>
      <c r="Y296" s="27">
        <v>9425</v>
      </c>
      <c r="Z296" s="148" t="s">
        <v>1500</v>
      </c>
      <c r="AA296" s="166" t="s">
        <v>91</v>
      </c>
      <c r="AB296" s="166"/>
    </row>
    <row r="297" spans="1:28" ht="30" hidden="1" customHeight="1">
      <c r="A297" s="166">
        <f t="shared" si="4"/>
        <v>256</v>
      </c>
      <c r="B297" s="330" t="s">
        <v>1502</v>
      </c>
      <c r="C297" s="53" t="s">
        <v>1103</v>
      </c>
      <c r="D297" s="148" t="s">
        <v>440</v>
      </c>
      <c r="E297" s="166" t="s">
        <v>441</v>
      </c>
      <c r="F297" s="53" t="s">
        <v>164</v>
      </c>
      <c r="G297" s="148" t="s">
        <v>1503</v>
      </c>
      <c r="H297" s="53" t="s">
        <v>348</v>
      </c>
      <c r="I297" s="313">
        <v>21.28</v>
      </c>
      <c r="J297" s="318">
        <v>21.28</v>
      </c>
      <c r="K297" s="820">
        <v>21.28</v>
      </c>
      <c r="L297" s="148" t="s">
        <v>1504</v>
      </c>
      <c r="M297" s="166">
        <v>2012</v>
      </c>
      <c r="N297" s="887">
        <v>41232</v>
      </c>
      <c r="O297" s="206" t="s">
        <v>1505</v>
      </c>
      <c r="P297" s="27" t="s">
        <v>37</v>
      </c>
      <c r="Q297" s="148"/>
      <c r="R297" s="198" t="s">
        <v>89</v>
      </c>
      <c r="S297" s="198" t="s">
        <v>35</v>
      </c>
      <c r="T297" s="148" t="s">
        <v>35</v>
      </c>
      <c r="U297" s="148" t="s">
        <v>35</v>
      </c>
      <c r="V297" s="148" t="s">
        <v>35</v>
      </c>
      <c r="W297" s="204" t="s">
        <v>66</v>
      </c>
      <c r="X297" s="27" t="s">
        <v>112</v>
      </c>
      <c r="Y297" s="27">
        <v>9492</v>
      </c>
      <c r="Z297" s="148" t="s">
        <v>1504</v>
      </c>
      <c r="AA297" s="166" t="s">
        <v>91</v>
      </c>
      <c r="AB297" s="166"/>
    </row>
    <row r="298" spans="1:28" ht="30" hidden="1" customHeight="1">
      <c r="A298" s="166">
        <f t="shared" si="4"/>
        <v>257</v>
      </c>
      <c r="B298" s="47" t="s">
        <v>1506</v>
      </c>
      <c r="C298" s="53" t="s">
        <v>1507</v>
      </c>
      <c r="D298" s="148" t="s">
        <v>440</v>
      </c>
      <c r="E298" s="166" t="s">
        <v>441</v>
      </c>
      <c r="F298" s="148" t="s">
        <v>201</v>
      </c>
      <c r="G298" s="148" t="s">
        <v>1508</v>
      </c>
      <c r="H298" s="53" t="s">
        <v>203</v>
      </c>
      <c r="I298" s="313">
        <v>33.450000000000003</v>
      </c>
      <c r="J298" s="318">
        <v>33.450000000000003</v>
      </c>
      <c r="K298" s="820">
        <v>33.450000000000003</v>
      </c>
      <c r="L298" s="148" t="s">
        <v>1509</v>
      </c>
      <c r="M298" s="166">
        <v>2012</v>
      </c>
      <c r="N298" s="887">
        <v>41233</v>
      </c>
      <c r="O298" s="206" t="s">
        <v>1510</v>
      </c>
      <c r="P298" s="27" t="s">
        <v>37</v>
      </c>
      <c r="Q298" s="53"/>
      <c r="R298" s="198" t="s">
        <v>89</v>
      </c>
      <c r="S298" s="198" t="s">
        <v>35</v>
      </c>
      <c r="T298" s="148" t="s">
        <v>35</v>
      </c>
      <c r="U298" s="148" t="s">
        <v>35</v>
      </c>
      <c r="V298" s="148" t="s">
        <v>35</v>
      </c>
      <c r="W298" s="204" t="s">
        <v>66</v>
      </c>
      <c r="X298" s="27" t="s">
        <v>112</v>
      </c>
      <c r="Y298" s="27">
        <v>9731</v>
      </c>
      <c r="Z298" s="148" t="s">
        <v>1509</v>
      </c>
      <c r="AA298" s="166" t="s">
        <v>91</v>
      </c>
      <c r="AB298" s="166"/>
    </row>
    <row r="299" spans="1:28" ht="38.25" hidden="1" customHeight="1">
      <c r="A299" s="166">
        <f t="shared" si="4"/>
        <v>258</v>
      </c>
      <c r="B299" s="330" t="s">
        <v>1511</v>
      </c>
      <c r="C299" s="53" t="s">
        <v>1512</v>
      </c>
      <c r="D299" s="148" t="s">
        <v>440</v>
      </c>
      <c r="E299" s="166" t="s">
        <v>441</v>
      </c>
      <c r="F299" s="53" t="s">
        <v>180</v>
      </c>
      <c r="G299" s="148" t="s">
        <v>415</v>
      </c>
      <c r="H299" s="53" t="s">
        <v>182</v>
      </c>
      <c r="I299" s="942">
        <v>1.0569999999999999</v>
      </c>
      <c r="J299" s="943">
        <v>1.0569999999999999</v>
      </c>
      <c r="K299" s="944">
        <v>1.0569999999999999</v>
      </c>
      <c r="L299" s="148" t="s">
        <v>1513</v>
      </c>
      <c r="M299" s="166">
        <v>2012</v>
      </c>
      <c r="N299" s="887">
        <v>41282</v>
      </c>
      <c r="O299" s="206" t="s">
        <v>1514</v>
      </c>
      <c r="P299" s="27" t="s">
        <v>37</v>
      </c>
      <c r="Q299" s="53"/>
      <c r="R299" s="198" t="s">
        <v>89</v>
      </c>
      <c r="S299" s="198" t="s">
        <v>35</v>
      </c>
      <c r="T299" s="148" t="s">
        <v>35</v>
      </c>
      <c r="U299" s="148" t="s">
        <v>35</v>
      </c>
      <c r="V299" s="148" t="s">
        <v>35</v>
      </c>
      <c r="W299" s="204" t="s">
        <v>66</v>
      </c>
      <c r="X299" s="27" t="s">
        <v>112</v>
      </c>
      <c r="Y299" s="27">
        <v>9796</v>
      </c>
      <c r="Z299" s="148" t="s">
        <v>1513</v>
      </c>
      <c r="AA299" s="166" t="s">
        <v>91</v>
      </c>
      <c r="AB299" s="166"/>
    </row>
    <row r="300" spans="1:28" ht="30" hidden="1" customHeight="1">
      <c r="A300" s="166">
        <f t="shared" si="4"/>
        <v>259</v>
      </c>
      <c r="B300" s="47" t="s">
        <v>1515</v>
      </c>
      <c r="C300" s="53" t="s">
        <v>1516</v>
      </c>
      <c r="D300" s="148" t="s">
        <v>440</v>
      </c>
      <c r="E300" s="166" t="s">
        <v>441</v>
      </c>
      <c r="F300" s="53" t="s">
        <v>32</v>
      </c>
      <c r="G300" s="148" t="s">
        <v>72</v>
      </c>
      <c r="H300" s="53" t="s">
        <v>32</v>
      </c>
      <c r="I300" s="313">
        <v>3.88</v>
      </c>
      <c r="J300" s="318">
        <v>3.88</v>
      </c>
      <c r="K300" s="820">
        <v>3.88</v>
      </c>
      <c r="L300" s="148" t="s">
        <v>1517</v>
      </c>
      <c r="M300" s="166">
        <v>2012</v>
      </c>
      <c r="N300" s="887">
        <v>41282</v>
      </c>
      <c r="O300" s="206" t="s">
        <v>1518</v>
      </c>
      <c r="P300" s="27" t="s">
        <v>37</v>
      </c>
      <c r="Q300" s="53"/>
      <c r="R300" s="198" t="s">
        <v>89</v>
      </c>
      <c r="S300" s="198" t="s">
        <v>35</v>
      </c>
      <c r="T300" s="148" t="s">
        <v>35</v>
      </c>
      <c r="U300" s="148" t="s">
        <v>35</v>
      </c>
      <c r="V300" s="148" t="s">
        <v>35</v>
      </c>
      <c r="W300" s="204" t="s">
        <v>66</v>
      </c>
      <c r="X300" s="27" t="s">
        <v>112</v>
      </c>
      <c r="Y300" s="27">
        <v>9304</v>
      </c>
      <c r="Z300" s="148" t="s">
        <v>1517</v>
      </c>
      <c r="AA300" s="166" t="s">
        <v>91</v>
      </c>
      <c r="AB300" s="166"/>
    </row>
    <row r="301" spans="1:28" ht="48.75" hidden="1" customHeight="1">
      <c r="A301" s="166">
        <f t="shared" si="4"/>
        <v>260</v>
      </c>
      <c r="B301" s="330" t="s">
        <v>1519</v>
      </c>
      <c r="C301" s="53" t="s">
        <v>1520</v>
      </c>
      <c r="D301" s="148" t="s">
        <v>496</v>
      </c>
      <c r="E301" s="166" t="s">
        <v>497</v>
      </c>
      <c r="F301" s="53" t="s">
        <v>155</v>
      </c>
      <c r="G301" s="148" t="s">
        <v>1462</v>
      </c>
      <c r="H301" s="53" t="s">
        <v>490</v>
      </c>
      <c r="I301" s="316">
        <v>760.46870000000001</v>
      </c>
      <c r="J301" s="945">
        <v>0</v>
      </c>
      <c r="K301" s="886">
        <v>760.46870000000001</v>
      </c>
      <c r="L301" s="148" t="s">
        <v>1521</v>
      </c>
      <c r="M301" s="166">
        <v>2010</v>
      </c>
      <c r="N301" s="887">
        <v>41512</v>
      </c>
      <c r="O301" s="53" t="s">
        <v>1464</v>
      </c>
      <c r="P301" s="27" t="s">
        <v>37</v>
      </c>
      <c r="Q301" s="53"/>
      <c r="R301" s="198" t="s">
        <v>89</v>
      </c>
      <c r="S301" s="198" t="s">
        <v>35</v>
      </c>
      <c r="T301" s="148" t="s">
        <v>35</v>
      </c>
      <c r="U301" s="148" t="s">
        <v>35</v>
      </c>
      <c r="V301" s="148" t="s">
        <v>35</v>
      </c>
      <c r="W301" s="204" t="s">
        <v>66</v>
      </c>
      <c r="X301" s="198" t="s">
        <v>654</v>
      </c>
      <c r="Y301" s="198">
        <v>8454</v>
      </c>
      <c r="Z301" s="148" t="s">
        <v>1522</v>
      </c>
      <c r="AA301" s="166" t="s">
        <v>91</v>
      </c>
      <c r="AB301" s="148" t="s">
        <v>1523</v>
      </c>
    </row>
    <row r="302" spans="1:28" ht="37.5" hidden="1" customHeight="1">
      <c r="A302" s="166">
        <f t="shared" si="4"/>
        <v>261</v>
      </c>
      <c r="B302" s="47" t="s">
        <v>1524</v>
      </c>
      <c r="C302" s="53" t="s">
        <v>1525</v>
      </c>
      <c r="D302" s="148" t="s">
        <v>1526</v>
      </c>
      <c r="E302" s="166" t="s">
        <v>497</v>
      </c>
      <c r="F302" s="53" t="s">
        <v>535</v>
      </c>
      <c r="G302" s="148" t="s">
        <v>1527</v>
      </c>
      <c r="H302" s="53" t="s">
        <v>813</v>
      </c>
      <c r="I302" s="313">
        <v>29.8</v>
      </c>
      <c r="J302" s="318">
        <v>29.8</v>
      </c>
      <c r="K302" s="820">
        <v>29.8</v>
      </c>
      <c r="L302" s="148" t="s">
        <v>1528</v>
      </c>
      <c r="M302" s="166">
        <v>2012</v>
      </c>
      <c r="N302" s="887">
        <v>41282</v>
      </c>
      <c r="O302" s="53" t="s">
        <v>1529</v>
      </c>
      <c r="P302" s="27" t="s">
        <v>37</v>
      </c>
      <c r="Q302" s="53"/>
      <c r="R302" s="198" t="s">
        <v>89</v>
      </c>
      <c r="S302" s="198" t="s">
        <v>35</v>
      </c>
      <c r="T302" s="148" t="s">
        <v>35</v>
      </c>
      <c r="U302" s="148" t="s">
        <v>35</v>
      </c>
      <c r="V302" s="148" t="s">
        <v>35</v>
      </c>
      <c r="W302" s="204" t="s">
        <v>66</v>
      </c>
      <c r="X302" s="27" t="s">
        <v>112</v>
      </c>
      <c r="Y302" s="27">
        <v>9504</v>
      </c>
      <c r="Z302" s="148" t="s">
        <v>1528</v>
      </c>
      <c r="AA302" s="166" t="s">
        <v>91</v>
      </c>
      <c r="AB302" s="166"/>
    </row>
    <row r="303" spans="1:28" ht="37.5" customHeight="1">
      <c r="A303" s="166">
        <f t="shared" si="4"/>
        <v>262</v>
      </c>
      <c r="B303" s="330" t="s">
        <v>1530</v>
      </c>
      <c r="C303" s="53" t="s">
        <v>1531</v>
      </c>
      <c r="D303" s="148" t="s">
        <v>440</v>
      </c>
      <c r="E303" s="166" t="s">
        <v>441</v>
      </c>
      <c r="F303" s="53" t="s">
        <v>155</v>
      </c>
      <c r="G303" s="148" t="s">
        <v>1532</v>
      </c>
      <c r="H303" s="53" t="s">
        <v>613</v>
      </c>
      <c r="I303" s="313">
        <v>1009.83</v>
      </c>
      <c r="J303" s="945">
        <v>0</v>
      </c>
      <c r="K303" s="820">
        <v>1009.83</v>
      </c>
      <c r="L303" s="148" t="s">
        <v>1533</v>
      </c>
      <c r="M303" s="166">
        <v>2013</v>
      </c>
      <c r="N303" s="887">
        <v>41324</v>
      </c>
      <c r="O303" s="206" t="s">
        <v>1534</v>
      </c>
      <c r="P303" s="27" t="s">
        <v>37</v>
      </c>
      <c r="Q303" s="53"/>
      <c r="R303" s="198" t="s">
        <v>89</v>
      </c>
      <c r="S303" s="198" t="s">
        <v>35</v>
      </c>
      <c r="T303" s="148" t="s">
        <v>35</v>
      </c>
      <c r="U303" s="148" t="s">
        <v>35</v>
      </c>
      <c r="V303" s="148" t="s">
        <v>35</v>
      </c>
      <c r="W303" s="204" t="s">
        <v>66</v>
      </c>
      <c r="X303" s="27" t="s">
        <v>493</v>
      </c>
      <c r="Y303" s="27">
        <v>8998</v>
      </c>
      <c r="Z303" s="148" t="s">
        <v>1533</v>
      </c>
      <c r="AA303" s="166" t="s">
        <v>91</v>
      </c>
      <c r="AB303" s="166"/>
    </row>
    <row r="304" spans="1:28" ht="37.5" hidden="1" customHeight="1">
      <c r="A304" s="166">
        <f t="shared" si="4"/>
        <v>263</v>
      </c>
      <c r="B304" s="47" t="s">
        <v>1535</v>
      </c>
      <c r="C304" s="148" t="s">
        <v>1536</v>
      </c>
      <c r="D304" s="148" t="s">
        <v>440</v>
      </c>
      <c r="E304" s="166" t="s">
        <v>441</v>
      </c>
      <c r="F304" s="53" t="s">
        <v>210</v>
      </c>
      <c r="G304" s="148" t="s">
        <v>388</v>
      </c>
      <c r="H304" s="53" t="s">
        <v>212</v>
      </c>
      <c r="I304" s="313">
        <v>2134.27</v>
      </c>
      <c r="J304" s="945">
        <v>0</v>
      </c>
      <c r="K304" s="820">
        <v>2134.27</v>
      </c>
      <c r="L304" s="148" t="s">
        <v>1537</v>
      </c>
      <c r="M304" s="166">
        <v>2013</v>
      </c>
      <c r="N304" s="887">
        <v>41421</v>
      </c>
      <c r="O304" s="206" t="s">
        <v>993</v>
      </c>
      <c r="P304" s="27" t="s">
        <v>37</v>
      </c>
      <c r="Q304" s="53"/>
      <c r="R304" s="198" t="s">
        <v>89</v>
      </c>
      <c r="S304" s="198" t="s">
        <v>35</v>
      </c>
      <c r="T304" s="148" t="s">
        <v>35</v>
      </c>
      <c r="U304" s="148" t="s">
        <v>35</v>
      </c>
      <c r="V304" s="148" t="s">
        <v>35</v>
      </c>
      <c r="W304" s="204" t="s">
        <v>66</v>
      </c>
      <c r="X304" s="27" t="s">
        <v>112</v>
      </c>
      <c r="Y304" s="27">
        <v>9712</v>
      </c>
      <c r="Z304" s="148" t="s">
        <v>1537</v>
      </c>
      <c r="AA304" s="166" t="s">
        <v>91</v>
      </c>
      <c r="AB304" s="166"/>
    </row>
    <row r="305" spans="1:28" ht="37.5" hidden="1" customHeight="1">
      <c r="A305" s="166">
        <f t="shared" si="4"/>
        <v>264</v>
      </c>
      <c r="B305" s="47" t="s">
        <v>1538</v>
      </c>
      <c r="C305" s="53" t="s">
        <v>1539</v>
      </c>
      <c r="D305" s="148" t="s">
        <v>440</v>
      </c>
      <c r="E305" s="166" t="s">
        <v>441</v>
      </c>
      <c r="F305" s="53" t="s">
        <v>180</v>
      </c>
      <c r="G305" s="148" t="s">
        <v>635</v>
      </c>
      <c r="H305" s="53" t="s">
        <v>394</v>
      </c>
      <c r="I305" s="313">
        <v>26.04</v>
      </c>
      <c r="J305" s="318">
        <v>26.04</v>
      </c>
      <c r="K305" s="820">
        <v>26.04</v>
      </c>
      <c r="L305" s="148" t="s">
        <v>1540</v>
      </c>
      <c r="M305" s="166">
        <v>2013</v>
      </c>
      <c r="N305" s="887">
        <v>41458</v>
      </c>
      <c r="O305" s="206" t="s">
        <v>1541</v>
      </c>
      <c r="P305" s="27" t="s">
        <v>37</v>
      </c>
      <c r="Q305" s="53"/>
      <c r="R305" s="198" t="s">
        <v>89</v>
      </c>
      <c r="S305" s="198" t="s">
        <v>35</v>
      </c>
      <c r="T305" s="148" t="s">
        <v>35</v>
      </c>
      <c r="U305" s="148" t="s">
        <v>35</v>
      </c>
      <c r="V305" s="148" t="s">
        <v>35</v>
      </c>
      <c r="W305" s="204" t="s">
        <v>66</v>
      </c>
      <c r="X305" s="27" t="s">
        <v>112</v>
      </c>
      <c r="Y305" s="27">
        <v>8061</v>
      </c>
      <c r="Z305" s="148" t="s">
        <v>1540</v>
      </c>
      <c r="AA305" s="166" t="s">
        <v>91</v>
      </c>
      <c r="AB305" s="166"/>
    </row>
    <row r="306" spans="1:28" ht="37.5" hidden="1" customHeight="1">
      <c r="A306" s="166">
        <f t="shared" si="4"/>
        <v>265</v>
      </c>
      <c r="B306" s="330" t="s">
        <v>1542</v>
      </c>
      <c r="C306" s="53" t="s">
        <v>1543</v>
      </c>
      <c r="D306" s="148" t="s">
        <v>496</v>
      </c>
      <c r="E306" s="166" t="s">
        <v>497</v>
      </c>
      <c r="F306" s="53" t="s">
        <v>535</v>
      </c>
      <c r="G306" s="148" t="s">
        <v>1544</v>
      </c>
      <c r="H306" s="53" t="s">
        <v>813</v>
      </c>
      <c r="I306" s="313">
        <v>48.75</v>
      </c>
      <c r="J306" s="318">
        <v>48.75</v>
      </c>
      <c r="K306" s="820">
        <v>48.75</v>
      </c>
      <c r="L306" s="148" t="s">
        <v>1545</v>
      </c>
      <c r="M306" s="166">
        <v>2013</v>
      </c>
      <c r="N306" s="887">
        <v>41352</v>
      </c>
      <c r="O306" s="53" t="s">
        <v>1546</v>
      </c>
      <c r="P306" s="27" t="s">
        <v>37</v>
      </c>
      <c r="Q306" s="53"/>
      <c r="R306" s="198" t="s">
        <v>89</v>
      </c>
      <c r="S306" s="198" t="s">
        <v>35</v>
      </c>
      <c r="T306" s="148" t="s">
        <v>35</v>
      </c>
      <c r="U306" s="148" t="s">
        <v>35</v>
      </c>
      <c r="V306" s="148" t="s">
        <v>35</v>
      </c>
      <c r="W306" s="204" t="s">
        <v>66</v>
      </c>
      <c r="X306" s="27" t="s">
        <v>112</v>
      </c>
      <c r="Y306" s="27">
        <v>9445</v>
      </c>
      <c r="Z306" s="148" t="s">
        <v>1545</v>
      </c>
      <c r="AA306" s="166" t="s">
        <v>91</v>
      </c>
      <c r="AB306" s="166"/>
    </row>
    <row r="307" spans="1:28" ht="37.5" hidden="1" customHeight="1">
      <c r="A307" s="166">
        <f t="shared" si="4"/>
        <v>266</v>
      </c>
      <c r="B307" s="47" t="s">
        <v>1547</v>
      </c>
      <c r="C307" s="53" t="s">
        <v>1548</v>
      </c>
      <c r="D307" s="148" t="s">
        <v>440</v>
      </c>
      <c r="E307" s="166" t="s">
        <v>441</v>
      </c>
      <c r="F307" s="53" t="s">
        <v>180</v>
      </c>
      <c r="G307" s="148" t="s">
        <v>603</v>
      </c>
      <c r="H307" s="53" t="s">
        <v>394</v>
      </c>
      <c r="I307" s="313">
        <v>28.75</v>
      </c>
      <c r="J307" s="318">
        <v>28.75</v>
      </c>
      <c r="K307" s="820">
        <v>28.75</v>
      </c>
      <c r="L307" s="148" t="s">
        <v>1549</v>
      </c>
      <c r="M307" s="166">
        <v>2013</v>
      </c>
      <c r="N307" s="887">
        <v>41430</v>
      </c>
      <c r="O307" s="206" t="s">
        <v>1550</v>
      </c>
      <c r="P307" s="27" t="s">
        <v>37</v>
      </c>
      <c r="Q307" s="53"/>
      <c r="R307" s="198" t="s">
        <v>89</v>
      </c>
      <c r="S307" s="198" t="s">
        <v>35</v>
      </c>
      <c r="T307" s="148" t="s">
        <v>35</v>
      </c>
      <c r="U307" s="148" t="s">
        <v>35</v>
      </c>
      <c r="V307" s="148" t="s">
        <v>35</v>
      </c>
      <c r="W307" s="204" t="s">
        <v>66</v>
      </c>
      <c r="X307" s="27" t="s">
        <v>112</v>
      </c>
      <c r="Y307" s="27">
        <v>9074</v>
      </c>
      <c r="Z307" s="148" t="s">
        <v>1549</v>
      </c>
      <c r="AA307" s="166" t="s">
        <v>91</v>
      </c>
      <c r="AB307" s="166"/>
    </row>
    <row r="308" spans="1:28" ht="37.5" hidden="1" customHeight="1">
      <c r="A308" s="166">
        <f t="shared" si="4"/>
        <v>267</v>
      </c>
      <c r="B308" s="47" t="s">
        <v>1551</v>
      </c>
      <c r="C308" s="53" t="s">
        <v>1552</v>
      </c>
      <c r="D308" s="148" t="s">
        <v>440</v>
      </c>
      <c r="E308" s="166" t="s">
        <v>441</v>
      </c>
      <c r="F308" s="53" t="s">
        <v>180</v>
      </c>
      <c r="G308" s="148" t="s">
        <v>1553</v>
      </c>
      <c r="H308" s="53" t="s">
        <v>182</v>
      </c>
      <c r="I308" s="313">
        <v>214</v>
      </c>
      <c r="J308" s="318">
        <v>214</v>
      </c>
      <c r="K308" s="820">
        <v>214</v>
      </c>
      <c r="L308" s="148" t="s">
        <v>1554</v>
      </c>
      <c r="M308" s="166">
        <v>2013</v>
      </c>
      <c r="N308" s="887">
        <v>41526</v>
      </c>
      <c r="O308" s="206" t="s">
        <v>1555</v>
      </c>
      <c r="P308" s="27" t="s">
        <v>37</v>
      </c>
      <c r="Q308" s="53"/>
      <c r="R308" s="198" t="s">
        <v>89</v>
      </c>
      <c r="S308" s="198" t="s">
        <v>35</v>
      </c>
      <c r="T308" s="148" t="s">
        <v>35</v>
      </c>
      <c r="U308" s="148" t="s">
        <v>35</v>
      </c>
      <c r="V308" s="148" t="s">
        <v>35</v>
      </c>
      <c r="W308" s="204" t="s">
        <v>66</v>
      </c>
      <c r="X308" s="27" t="s">
        <v>112</v>
      </c>
      <c r="Y308" s="27">
        <v>8732</v>
      </c>
      <c r="Z308" s="148" t="s">
        <v>1554</v>
      </c>
      <c r="AA308" s="166" t="s">
        <v>91</v>
      </c>
      <c r="AB308" s="166"/>
    </row>
    <row r="309" spans="1:28" ht="37.5" hidden="1" customHeight="1">
      <c r="A309" s="166">
        <f t="shared" si="4"/>
        <v>268</v>
      </c>
      <c r="B309" s="330" t="s">
        <v>1556</v>
      </c>
      <c r="C309" s="53" t="s">
        <v>1557</v>
      </c>
      <c r="D309" s="148" t="s">
        <v>440</v>
      </c>
      <c r="E309" s="166" t="s">
        <v>441</v>
      </c>
      <c r="F309" s="53" t="s">
        <v>172</v>
      </c>
      <c r="G309" s="148" t="s">
        <v>173</v>
      </c>
      <c r="H309" s="53" t="s">
        <v>174</v>
      </c>
      <c r="I309" s="316">
        <v>62.096600000000002</v>
      </c>
      <c r="J309" s="317">
        <v>62.096600000000002</v>
      </c>
      <c r="K309" s="886">
        <v>62.096600000000002</v>
      </c>
      <c r="L309" s="148" t="s">
        <v>1558</v>
      </c>
      <c r="M309" s="166">
        <v>2013</v>
      </c>
      <c r="N309" s="887">
        <v>41557</v>
      </c>
      <c r="O309" s="206" t="s">
        <v>1559</v>
      </c>
      <c r="P309" s="27" t="s">
        <v>37</v>
      </c>
      <c r="Q309" s="53"/>
      <c r="R309" s="198" t="s">
        <v>89</v>
      </c>
      <c r="S309" s="198" t="s">
        <v>35</v>
      </c>
      <c r="T309" s="148" t="s">
        <v>35</v>
      </c>
      <c r="U309" s="148" t="s">
        <v>35</v>
      </c>
      <c r="V309" s="148" t="s">
        <v>35</v>
      </c>
      <c r="W309" s="204" t="s">
        <v>66</v>
      </c>
      <c r="X309" s="27" t="s">
        <v>112</v>
      </c>
      <c r="Y309" s="27">
        <v>8380</v>
      </c>
      <c r="Z309" s="148" t="s">
        <v>1558</v>
      </c>
      <c r="AA309" s="166" t="s">
        <v>91</v>
      </c>
      <c r="AB309" s="166"/>
    </row>
    <row r="310" spans="1:28" ht="37.5" hidden="1" customHeight="1">
      <c r="A310" s="166">
        <f t="shared" si="4"/>
        <v>269</v>
      </c>
      <c r="B310" s="47" t="s">
        <v>1560</v>
      </c>
      <c r="C310" s="53" t="s">
        <v>1561</v>
      </c>
      <c r="D310" s="148" t="s">
        <v>496</v>
      </c>
      <c r="E310" s="166" t="s">
        <v>497</v>
      </c>
      <c r="F310" s="53" t="s">
        <v>180</v>
      </c>
      <c r="G310" s="148" t="s">
        <v>1562</v>
      </c>
      <c r="H310" s="53" t="s">
        <v>394</v>
      </c>
      <c r="I310" s="316">
        <v>18.101658</v>
      </c>
      <c r="J310" s="317">
        <v>18.101658</v>
      </c>
      <c r="K310" s="886">
        <v>18.101658</v>
      </c>
      <c r="L310" s="148" t="s">
        <v>1563</v>
      </c>
      <c r="M310" s="166">
        <v>2013</v>
      </c>
      <c r="N310" s="887">
        <v>41647</v>
      </c>
      <c r="O310" s="53" t="s">
        <v>1564</v>
      </c>
      <c r="P310" s="27" t="s">
        <v>37</v>
      </c>
      <c r="Q310" s="53"/>
      <c r="R310" s="198" t="s">
        <v>89</v>
      </c>
      <c r="S310" s="198" t="s">
        <v>35</v>
      </c>
      <c r="T310" s="148" t="s">
        <v>35</v>
      </c>
      <c r="U310" s="148" t="s">
        <v>35</v>
      </c>
      <c r="V310" s="148" t="s">
        <v>35</v>
      </c>
      <c r="W310" s="204" t="s">
        <v>66</v>
      </c>
      <c r="X310" s="27" t="s">
        <v>112</v>
      </c>
      <c r="Y310" s="27">
        <v>9795</v>
      </c>
      <c r="Z310" s="148" t="s">
        <v>1563</v>
      </c>
      <c r="AA310" s="166" t="s">
        <v>91</v>
      </c>
      <c r="AB310" s="166"/>
    </row>
    <row r="311" spans="1:28" ht="37.5" hidden="1" customHeight="1">
      <c r="A311" s="166">
        <f t="shared" si="4"/>
        <v>270</v>
      </c>
      <c r="B311" s="939" t="s">
        <v>1565</v>
      </c>
      <c r="C311" s="10" t="s">
        <v>1566</v>
      </c>
      <c r="D311" s="148" t="s">
        <v>440</v>
      </c>
      <c r="E311" s="166" t="s">
        <v>441</v>
      </c>
      <c r="F311" s="53" t="s">
        <v>32</v>
      </c>
      <c r="G311" s="148" t="s">
        <v>59</v>
      </c>
      <c r="H311" s="53" t="s">
        <v>32</v>
      </c>
      <c r="I311" s="313">
        <v>514.71</v>
      </c>
      <c r="J311" s="318">
        <v>514.71</v>
      </c>
      <c r="K311" s="820">
        <v>514.71</v>
      </c>
      <c r="L311" s="148" t="s">
        <v>1567</v>
      </c>
      <c r="M311" s="166">
        <v>2014</v>
      </c>
      <c r="N311" s="887">
        <v>41673</v>
      </c>
      <c r="O311" s="206" t="s">
        <v>1568</v>
      </c>
      <c r="P311" s="27" t="s">
        <v>37</v>
      </c>
      <c r="Q311" s="53"/>
      <c r="R311" s="198" t="s">
        <v>89</v>
      </c>
      <c r="S311" s="198" t="s">
        <v>35</v>
      </c>
      <c r="T311" s="148" t="s">
        <v>35</v>
      </c>
      <c r="U311" s="148" t="s">
        <v>35</v>
      </c>
      <c r="V311" s="148" t="s">
        <v>35</v>
      </c>
      <c r="W311" s="204" t="s">
        <v>66</v>
      </c>
      <c r="X311" s="27" t="s">
        <v>112</v>
      </c>
      <c r="Y311" s="27">
        <v>10905</v>
      </c>
      <c r="Z311" s="148" t="s">
        <v>1567</v>
      </c>
      <c r="AA311" s="166" t="s">
        <v>91</v>
      </c>
      <c r="AB311" s="166"/>
    </row>
    <row r="312" spans="1:28" ht="37.5" hidden="1" customHeight="1">
      <c r="A312" s="166">
        <f t="shared" si="4"/>
        <v>271</v>
      </c>
      <c r="B312" s="69" t="s">
        <v>1569</v>
      </c>
      <c r="C312" s="10" t="s">
        <v>1570</v>
      </c>
      <c r="D312" s="148" t="s">
        <v>440</v>
      </c>
      <c r="E312" s="166" t="s">
        <v>441</v>
      </c>
      <c r="F312" s="53" t="s">
        <v>180</v>
      </c>
      <c r="G312" s="148" t="s">
        <v>603</v>
      </c>
      <c r="H312" s="53" t="s">
        <v>394</v>
      </c>
      <c r="I312" s="313">
        <v>13.97</v>
      </c>
      <c r="J312" s="318">
        <v>13.97</v>
      </c>
      <c r="K312" s="820">
        <v>13.97</v>
      </c>
      <c r="L312" s="148" t="s">
        <v>1571</v>
      </c>
      <c r="M312" s="166">
        <v>2014</v>
      </c>
      <c r="N312" s="887">
        <v>41779</v>
      </c>
      <c r="O312" s="206" t="s">
        <v>1572</v>
      </c>
      <c r="P312" s="27" t="s">
        <v>37</v>
      </c>
      <c r="Q312" s="53"/>
      <c r="R312" s="198" t="s">
        <v>89</v>
      </c>
      <c r="S312" s="198" t="s">
        <v>35</v>
      </c>
      <c r="T312" s="148" t="s">
        <v>35</v>
      </c>
      <c r="U312" s="148" t="s">
        <v>35</v>
      </c>
      <c r="V312" s="148" t="s">
        <v>35</v>
      </c>
      <c r="W312" s="204" t="s">
        <v>66</v>
      </c>
      <c r="X312" s="27" t="s">
        <v>112</v>
      </c>
      <c r="Y312" s="27">
        <v>10156</v>
      </c>
      <c r="Z312" s="148" t="s">
        <v>1571</v>
      </c>
      <c r="AA312" s="166" t="s">
        <v>91</v>
      </c>
      <c r="AB312" s="166"/>
    </row>
    <row r="313" spans="1:28" ht="37.5" hidden="1" customHeight="1">
      <c r="A313" s="166">
        <f t="shared" si="4"/>
        <v>272</v>
      </c>
      <c r="B313" s="69" t="s">
        <v>1573</v>
      </c>
      <c r="C313" s="10" t="s">
        <v>1574</v>
      </c>
      <c r="D313" s="148" t="s">
        <v>440</v>
      </c>
      <c r="E313" s="166" t="s">
        <v>441</v>
      </c>
      <c r="F313" s="53" t="s">
        <v>172</v>
      </c>
      <c r="G313" s="148" t="s">
        <v>235</v>
      </c>
      <c r="H313" s="53" t="s">
        <v>235</v>
      </c>
      <c r="I313" s="313">
        <v>14.55</v>
      </c>
      <c r="J313" s="318">
        <v>14.55</v>
      </c>
      <c r="K313" s="820">
        <v>14.55</v>
      </c>
      <c r="L313" s="148" t="s">
        <v>1575</v>
      </c>
      <c r="M313" s="166">
        <v>2014</v>
      </c>
      <c r="N313" s="887">
        <v>41794</v>
      </c>
      <c r="O313" s="206" t="s">
        <v>1576</v>
      </c>
      <c r="P313" s="27" t="s">
        <v>37</v>
      </c>
      <c r="Q313" s="53"/>
      <c r="R313" s="198" t="s">
        <v>89</v>
      </c>
      <c r="S313" s="198" t="s">
        <v>35</v>
      </c>
      <c r="T313" s="148" t="s">
        <v>35</v>
      </c>
      <c r="U313" s="148" t="s">
        <v>35</v>
      </c>
      <c r="V313" s="148" t="s">
        <v>35</v>
      </c>
      <c r="W313" s="204" t="s">
        <v>66</v>
      </c>
      <c r="X313" s="27" t="s">
        <v>112</v>
      </c>
      <c r="Y313" s="27">
        <v>9925</v>
      </c>
      <c r="Z313" s="148" t="s">
        <v>1575</v>
      </c>
      <c r="AA313" s="166" t="s">
        <v>91</v>
      </c>
      <c r="AB313" s="166"/>
    </row>
    <row r="314" spans="1:28" ht="37.5" hidden="1" customHeight="1">
      <c r="A314" s="166">
        <f t="shared" si="4"/>
        <v>273</v>
      </c>
      <c r="B314" s="939" t="s">
        <v>1577</v>
      </c>
      <c r="C314" s="10" t="s">
        <v>1578</v>
      </c>
      <c r="D314" s="148" t="s">
        <v>440</v>
      </c>
      <c r="E314" s="166" t="s">
        <v>441</v>
      </c>
      <c r="F314" s="53" t="s">
        <v>172</v>
      </c>
      <c r="G314" s="148" t="s">
        <v>235</v>
      </c>
      <c r="H314" s="53" t="s">
        <v>235</v>
      </c>
      <c r="I314" s="942">
        <v>92.241</v>
      </c>
      <c r="J314" s="943">
        <v>92.241</v>
      </c>
      <c r="K314" s="944">
        <v>92.241</v>
      </c>
      <c r="L314" s="148" t="s">
        <v>1579</v>
      </c>
      <c r="M314" s="166">
        <v>2014</v>
      </c>
      <c r="N314" s="887">
        <v>41795</v>
      </c>
      <c r="O314" s="206" t="s">
        <v>1576</v>
      </c>
      <c r="P314" s="27" t="s">
        <v>37</v>
      </c>
      <c r="Q314" s="53"/>
      <c r="R314" s="198" t="s">
        <v>89</v>
      </c>
      <c r="S314" s="198" t="s">
        <v>35</v>
      </c>
      <c r="T314" s="148" t="s">
        <v>35</v>
      </c>
      <c r="U314" s="148" t="s">
        <v>35</v>
      </c>
      <c r="V314" s="148" t="s">
        <v>35</v>
      </c>
      <c r="W314" s="204" t="s">
        <v>66</v>
      </c>
      <c r="X314" s="27" t="s">
        <v>112</v>
      </c>
      <c r="Y314" s="27">
        <v>9926</v>
      </c>
      <c r="Z314" s="148" t="s">
        <v>1579</v>
      </c>
      <c r="AA314" s="166" t="s">
        <v>91</v>
      </c>
      <c r="AB314" s="166"/>
    </row>
    <row r="315" spans="1:28" ht="37.5" hidden="1" customHeight="1">
      <c r="A315" s="166">
        <f t="shared" si="4"/>
        <v>274</v>
      </c>
      <c r="B315" s="69" t="s">
        <v>1580</v>
      </c>
      <c r="C315" s="10" t="s">
        <v>1581</v>
      </c>
      <c r="D315" s="148" t="s">
        <v>440</v>
      </c>
      <c r="E315" s="166" t="s">
        <v>441</v>
      </c>
      <c r="F315" s="53" t="s">
        <v>321</v>
      </c>
      <c r="G315" s="148" t="s">
        <v>802</v>
      </c>
      <c r="H315" s="53" t="s">
        <v>613</v>
      </c>
      <c r="I315" s="313">
        <v>440.29</v>
      </c>
      <c r="J315" s="318">
        <v>189.81</v>
      </c>
      <c r="K315" s="820">
        <v>440.29</v>
      </c>
      <c r="L315" s="148" t="s">
        <v>1582</v>
      </c>
      <c r="M315" s="166">
        <v>2014</v>
      </c>
      <c r="N315" s="887">
        <v>41799</v>
      </c>
      <c r="O315" s="206" t="s">
        <v>1583</v>
      </c>
      <c r="P315" s="27" t="s">
        <v>37</v>
      </c>
      <c r="Q315" s="53"/>
      <c r="R315" s="198" t="s">
        <v>89</v>
      </c>
      <c r="S315" s="198" t="s">
        <v>35</v>
      </c>
      <c r="T315" s="148" t="s">
        <v>35</v>
      </c>
      <c r="U315" s="148" t="s">
        <v>35</v>
      </c>
      <c r="V315" s="148" t="s">
        <v>35</v>
      </c>
      <c r="W315" s="204" t="s">
        <v>66</v>
      </c>
      <c r="X315" s="27" t="s">
        <v>1584</v>
      </c>
      <c r="Y315" s="27">
        <v>8988</v>
      </c>
      <c r="Z315" s="148" t="s">
        <v>1582</v>
      </c>
      <c r="AA315" s="166" t="s">
        <v>91</v>
      </c>
      <c r="AB315" s="166"/>
    </row>
    <row r="316" spans="1:28" ht="37.5" hidden="1" customHeight="1">
      <c r="A316" s="166">
        <f t="shared" si="4"/>
        <v>275</v>
      </c>
      <c r="B316" s="69" t="s">
        <v>1585</v>
      </c>
      <c r="C316" s="10" t="s">
        <v>1586</v>
      </c>
      <c r="D316" s="148" t="s">
        <v>1587</v>
      </c>
      <c r="E316" s="166" t="s">
        <v>127</v>
      </c>
      <c r="F316" s="53" t="s">
        <v>210</v>
      </c>
      <c r="G316" s="148" t="s">
        <v>388</v>
      </c>
      <c r="H316" s="53" t="s">
        <v>212</v>
      </c>
      <c r="I316" s="313">
        <v>19013.439999999999</v>
      </c>
      <c r="J316" s="318">
        <v>19013.439999999999</v>
      </c>
      <c r="K316" s="820">
        <v>19013.439999999999</v>
      </c>
      <c r="L316" s="148" t="s">
        <v>1588</v>
      </c>
      <c r="M316" s="166">
        <v>2014</v>
      </c>
      <c r="N316" s="887" t="s">
        <v>35</v>
      </c>
      <c r="O316" s="54" t="s">
        <v>73</v>
      </c>
      <c r="P316" s="27" t="s">
        <v>74</v>
      </c>
      <c r="Q316" s="53" t="s">
        <v>1589</v>
      </c>
      <c r="R316" s="198" t="s">
        <v>89</v>
      </c>
      <c r="S316" s="198" t="s">
        <v>35</v>
      </c>
      <c r="T316" s="148" t="s">
        <v>35</v>
      </c>
      <c r="U316" s="148" t="s">
        <v>35</v>
      </c>
      <c r="V316" s="148" t="s">
        <v>35</v>
      </c>
      <c r="W316" s="204" t="s">
        <v>66</v>
      </c>
      <c r="X316" s="27" t="s">
        <v>112</v>
      </c>
      <c r="Y316" s="27">
        <v>7427</v>
      </c>
      <c r="Z316" s="11" t="s">
        <v>1590</v>
      </c>
      <c r="AA316" s="11" t="s">
        <v>1590</v>
      </c>
      <c r="AB316" s="11" t="s">
        <v>1591</v>
      </c>
    </row>
    <row r="317" spans="1:28" ht="37.5" hidden="1" customHeight="1">
      <c r="A317" s="166">
        <f t="shared" si="4"/>
        <v>276</v>
      </c>
      <c r="B317" s="939" t="s">
        <v>1592</v>
      </c>
      <c r="C317" s="10" t="s">
        <v>1271</v>
      </c>
      <c r="D317" s="148" t="s">
        <v>440</v>
      </c>
      <c r="E317" s="166" t="s">
        <v>441</v>
      </c>
      <c r="F317" s="53" t="s">
        <v>172</v>
      </c>
      <c r="G317" s="148" t="s">
        <v>235</v>
      </c>
      <c r="H317" s="53" t="s">
        <v>235</v>
      </c>
      <c r="I317" s="313">
        <v>32.6</v>
      </c>
      <c r="J317" s="318">
        <v>32.6</v>
      </c>
      <c r="K317" s="820">
        <v>32.6</v>
      </c>
      <c r="L317" s="148" t="s">
        <v>1593</v>
      </c>
      <c r="M317" s="166">
        <v>2014</v>
      </c>
      <c r="N317" s="887">
        <v>41807</v>
      </c>
      <c r="O317" s="206" t="s">
        <v>1576</v>
      </c>
      <c r="P317" s="27" t="s">
        <v>37</v>
      </c>
      <c r="Q317" s="53"/>
      <c r="R317" s="198" t="s">
        <v>89</v>
      </c>
      <c r="S317" s="198" t="s">
        <v>35</v>
      </c>
      <c r="T317" s="148" t="s">
        <v>35</v>
      </c>
      <c r="U317" s="148" t="s">
        <v>35</v>
      </c>
      <c r="V317" s="148" t="s">
        <v>35</v>
      </c>
      <c r="W317" s="204" t="s">
        <v>66</v>
      </c>
      <c r="X317" s="27" t="s">
        <v>112</v>
      </c>
      <c r="Y317" s="27">
        <v>9927</v>
      </c>
      <c r="Z317" s="148" t="s">
        <v>1593</v>
      </c>
      <c r="AA317" s="166" t="s">
        <v>91</v>
      </c>
      <c r="AB317" s="166"/>
    </row>
    <row r="318" spans="1:28" ht="37.5" hidden="1" customHeight="1">
      <c r="A318" s="166">
        <f t="shared" si="4"/>
        <v>277</v>
      </c>
      <c r="B318" s="69" t="s">
        <v>1594</v>
      </c>
      <c r="C318" s="10" t="s">
        <v>1595</v>
      </c>
      <c r="D318" s="148" t="s">
        <v>440</v>
      </c>
      <c r="E318" s="166" t="s">
        <v>441</v>
      </c>
      <c r="F318" s="53" t="s">
        <v>172</v>
      </c>
      <c r="G318" s="148" t="s">
        <v>235</v>
      </c>
      <c r="H318" s="53" t="s">
        <v>235</v>
      </c>
      <c r="I318" s="316">
        <v>27.8644</v>
      </c>
      <c r="J318" s="317">
        <v>27.8644</v>
      </c>
      <c r="K318" s="886">
        <v>27.8644</v>
      </c>
      <c r="L318" s="148" t="s">
        <v>1596</v>
      </c>
      <c r="M318" s="166">
        <v>2014</v>
      </c>
      <c r="N318" s="887">
        <v>41807</v>
      </c>
      <c r="O318" s="206" t="s">
        <v>1576</v>
      </c>
      <c r="P318" s="27" t="s">
        <v>37</v>
      </c>
      <c r="Q318" s="53"/>
      <c r="R318" s="198" t="s">
        <v>89</v>
      </c>
      <c r="S318" s="198" t="s">
        <v>35</v>
      </c>
      <c r="T318" s="148" t="s">
        <v>35</v>
      </c>
      <c r="U318" s="148" t="s">
        <v>35</v>
      </c>
      <c r="V318" s="148" t="s">
        <v>35</v>
      </c>
      <c r="W318" s="204" t="s">
        <v>66</v>
      </c>
      <c r="X318" s="27" t="s">
        <v>112</v>
      </c>
      <c r="Y318" s="27">
        <v>9924</v>
      </c>
      <c r="Z318" s="148" t="s">
        <v>1596</v>
      </c>
      <c r="AA318" s="166" t="s">
        <v>91</v>
      </c>
      <c r="AB318" s="166"/>
    </row>
    <row r="319" spans="1:28" ht="37.5" hidden="1" customHeight="1">
      <c r="A319" s="166">
        <f t="shared" si="4"/>
        <v>278</v>
      </c>
      <c r="B319" s="939" t="s">
        <v>1597</v>
      </c>
      <c r="C319" s="10" t="s">
        <v>1598</v>
      </c>
      <c r="D319" s="148" t="s">
        <v>496</v>
      </c>
      <c r="E319" s="166" t="s">
        <v>497</v>
      </c>
      <c r="F319" s="53" t="s">
        <v>535</v>
      </c>
      <c r="G319" s="148" t="s">
        <v>1599</v>
      </c>
      <c r="H319" s="53" t="s">
        <v>813</v>
      </c>
      <c r="I319" s="313">
        <v>304.13</v>
      </c>
      <c r="J319" s="318">
        <v>304.13</v>
      </c>
      <c r="K319" s="820">
        <v>304.13</v>
      </c>
      <c r="L319" s="148" t="s">
        <v>1600</v>
      </c>
      <c r="M319" s="166">
        <v>2014</v>
      </c>
      <c r="N319" s="887">
        <v>41814</v>
      </c>
      <c r="O319" s="53" t="s">
        <v>1601</v>
      </c>
      <c r="P319" s="27" t="s">
        <v>37</v>
      </c>
      <c r="Q319" s="53"/>
      <c r="R319" s="198" t="s">
        <v>89</v>
      </c>
      <c r="S319" s="198" t="s">
        <v>35</v>
      </c>
      <c r="T319" s="148" t="s">
        <v>35</v>
      </c>
      <c r="U319" s="148" t="s">
        <v>35</v>
      </c>
      <c r="V319" s="148" t="s">
        <v>35</v>
      </c>
      <c r="W319" s="204" t="s">
        <v>66</v>
      </c>
      <c r="X319" s="27" t="s">
        <v>112</v>
      </c>
      <c r="Y319" s="27">
        <v>10367</v>
      </c>
      <c r="Z319" s="148" t="s">
        <v>1600</v>
      </c>
      <c r="AA319" s="166" t="s">
        <v>91</v>
      </c>
      <c r="AB319" s="166"/>
    </row>
    <row r="320" spans="1:28" ht="37.5" hidden="1" customHeight="1">
      <c r="A320" s="166">
        <f t="shared" si="4"/>
        <v>279</v>
      </c>
      <c r="B320" s="69" t="s">
        <v>1602</v>
      </c>
      <c r="C320" s="10" t="s">
        <v>1603</v>
      </c>
      <c r="D320" s="148" t="s">
        <v>440</v>
      </c>
      <c r="E320" s="166" t="s">
        <v>441</v>
      </c>
      <c r="F320" s="53" t="s">
        <v>155</v>
      </c>
      <c r="G320" s="148" t="s">
        <v>1604</v>
      </c>
      <c r="H320" s="53" t="s">
        <v>490</v>
      </c>
      <c r="I320" s="313">
        <v>915.54</v>
      </c>
      <c r="J320" s="945">
        <v>0</v>
      </c>
      <c r="K320" s="820">
        <v>915.54</v>
      </c>
      <c r="L320" s="148" t="s">
        <v>1605</v>
      </c>
      <c r="M320" s="166">
        <v>2014</v>
      </c>
      <c r="N320" s="887">
        <v>41814</v>
      </c>
      <c r="O320" s="206" t="s">
        <v>1606</v>
      </c>
      <c r="P320" s="27" t="s">
        <v>37</v>
      </c>
      <c r="Q320" s="53"/>
      <c r="R320" s="198" t="s">
        <v>89</v>
      </c>
      <c r="S320" s="198" t="s">
        <v>35</v>
      </c>
      <c r="T320" s="148" t="s">
        <v>35</v>
      </c>
      <c r="U320" s="148" t="s">
        <v>35</v>
      </c>
      <c r="V320" s="148" t="s">
        <v>35</v>
      </c>
      <c r="W320" s="204" t="s">
        <v>66</v>
      </c>
      <c r="X320" s="198" t="s">
        <v>493</v>
      </c>
      <c r="Y320" s="198">
        <v>8334</v>
      </c>
      <c r="Z320" s="148" t="s">
        <v>1605</v>
      </c>
      <c r="AA320" s="166" t="s">
        <v>91</v>
      </c>
      <c r="AB320" s="1029"/>
    </row>
    <row r="321" spans="1:28" ht="37.5" hidden="1" customHeight="1">
      <c r="A321" s="166">
        <f t="shared" si="4"/>
        <v>280</v>
      </c>
      <c r="B321" s="69" t="s">
        <v>1607</v>
      </c>
      <c r="C321" s="10" t="s">
        <v>591</v>
      </c>
      <c r="D321" s="148" t="s">
        <v>440</v>
      </c>
      <c r="E321" s="166" t="s">
        <v>441</v>
      </c>
      <c r="F321" s="53" t="s">
        <v>180</v>
      </c>
      <c r="G321" s="148" t="s">
        <v>1608</v>
      </c>
      <c r="H321" s="53" t="s">
        <v>182</v>
      </c>
      <c r="I321" s="316">
        <v>16.447500000000002</v>
      </c>
      <c r="J321" s="317">
        <v>16.447500000000002</v>
      </c>
      <c r="K321" s="886">
        <v>16.447500000000002</v>
      </c>
      <c r="L321" s="148" t="s">
        <v>1609</v>
      </c>
      <c r="M321" s="166">
        <v>2014</v>
      </c>
      <c r="N321" s="887">
        <v>41815</v>
      </c>
      <c r="O321" s="206" t="s">
        <v>1610</v>
      </c>
      <c r="P321" s="27" t="s">
        <v>37</v>
      </c>
      <c r="Q321" s="53"/>
      <c r="R321" s="198" t="s">
        <v>89</v>
      </c>
      <c r="S321" s="198" t="s">
        <v>35</v>
      </c>
      <c r="T321" s="148" t="s">
        <v>35</v>
      </c>
      <c r="U321" s="148" t="s">
        <v>35</v>
      </c>
      <c r="V321" s="148" t="s">
        <v>35</v>
      </c>
      <c r="W321" s="204" t="s">
        <v>66</v>
      </c>
      <c r="X321" s="198"/>
      <c r="Y321" s="198">
        <v>8730</v>
      </c>
      <c r="Z321" s="148" t="s">
        <v>1609</v>
      </c>
      <c r="AA321" s="166" t="s">
        <v>91</v>
      </c>
      <c r="AB321" s="1029"/>
    </row>
    <row r="322" spans="1:28" ht="37.5" hidden="1" customHeight="1">
      <c r="A322" s="166">
        <f t="shared" si="4"/>
        <v>281</v>
      </c>
      <c r="B322" s="69" t="s">
        <v>1611</v>
      </c>
      <c r="C322" s="10" t="s">
        <v>1612</v>
      </c>
      <c r="D322" s="148" t="s">
        <v>496</v>
      </c>
      <c r="E322" s="166" t="s">
        <v>497</v>
      </c>
      <c r="F322" s="148" t="s">
        <v>201</v>
      </c>
      <c r="G322" s="53" t="s">
        <v>1613</v>
      </c>
      <c r="H322" s="148" t="s">
        <v>726</v>
      </c>
      <c r="I322" s="316">
        <v>100.17449999999999</v>
      </c>
      <c r="J322" s="317">
        <v>100.17449999999999</v>
      </c>
      <c r="K322" s="886">
        <v>100.17449999999999</v>
      </c>
      <c r="L322" s="148" t="s">
        <v>1614</v>
      </c>
      <c r="M322" s="166">
        <v>2014</v>
      </c>
      <c r="N322" s="887">
        <v>41816</v>
      </c>
      <c r="O322" s="53" t="s">
        <v>1615</v>
      </c>
      <c r="P322" s="27" t="s">
        <v>37</v>
      </c>
      <c r="Q322" s="53"/>
      <c r="R322" s="198" t="s">
        <v>89</v>
      </c>
      <c r="S322" s="148" t="s">
        <v>35</v>
      </c>
      <c r="T322" s="148" t="s">
        <v>35</v>
      </c>
      <c r="U322" s="148" t="s">
        <v>35</v>
      </c>
      <c r="V322" s="148" t="s">
        <v>35</v>
      </c>
      <c r="W322" s="204" t="s">
        <v>66</v>
      </c>
      <c r="X322" s="198"/>
      <c r="Y322" s="198">
        <v>10909</v>
      </c>
      <c r="Z322" s="148" t="s">
        <v>1614</v>
      </c>
      <c r="AA322" s="166" t="s">
        <v>91</v>
      </c>
      <c r="AB322" s="1029"/>
    </row>
    <row r="323" spans="1:28" ht="37.5" hidden="1" customHeight="1">
      <c r="A323" s="166">
        <f t="shared" si="4"/>
        <v>282</v>
      </c>
      <c r="B323" s="69" t="s">
        <v>1616</v>
      </c>
      <c r="C323" s="10" t="s">
        <v>1617</v>
      </c>
      <c r="D323" s="148" t="s">
        <v>496</v>
      </c>
      <c r="E323" s="166" t="s">
        <v>497</v>
      </c>
      <c r="F323" s="148" t="s">
        <v>201</v>
      </c>
      <c r="G323" s="148" t="s">
        <v>1618</v>
      </c>
      <c r="H323" s="53" t="s">
        <v>726</v>
      </c>
      <c r="I323" s="316">
        <v>18.767499999999998</v>
      </c>
      <c r="J323" s="317">
        <v>18.767499999999998</v>
      </c>
      <c r="K323" s="886">
        <v>18.767499999999998</v>
      </c>
      <c r="L323" s="148" t="s">
        <v>1619</v>
      </c>
      <c r="M323" s="166">
        <v>2014</v>
      </c>
      <c r="N323" s="887">
        <v>41817</v>
      </c>
      <c r="O323" s="53" t="s">
        <v>1620</v>
      </c>
      <c r="P323" s="27" t="s">
        <v>37</v>
      </c>
      <c r="Q323" s="53"/>
      <c r="R323" s="198" t="s">
        <v>89</v>
      </c>
      <c r="S323" s="198" t="s">
        <v>35</v>
      </c>
      <c r="T323" s="148" t="s">
        <v>35</v>
      </c>
      <c r="U323" s="148" t="s">
        <v>35</v>
      </c>
      <c r="V323" s="148" t="s">
        <v>35</v>
      </c>
      <c r="W323" s="204" t="s">
        <v>66</v>
      </c>
      <c r="X323" s="27"/>
      <c r="Y323" s="27">
        <v>10948</v>
      </c>
      <c r="Z323" s="148" t="s">
        <v>1619</v>
      </c>
      <c r="AA323" s="166" t="s">
        <v>91</v>
      </c>
      <c r="AB323" s="1029"/>
    </row>
    <row r="324" spans="1:28" ht="25.5" hidden="1">
      <c r="A324" s="166">
        <f t="shared" si="4"/>
        <v>283</v>
      </c>
      <c r="B324" s="69" t="s">
        <v>1621</v>
      </c>
      <c r="C324" s="10" t="s">
        <v>1622</v>
      </c>
      <c r="D324" s="53" t="s">
        <v>440</v>
      </c>
      <c r="E324" s="166" t="s">
        <v>441</v>
      </c>
      <c r="F324" s="166" t="s">
        <v>172</v>
      </c>
      <c r="G324" s="166" t="s">
        <v>797</v>
      </c>
      <c r="H324" s="166" t="s">
        <v>235</v>
      </c>
      <c r="I324" s="313">
        <v>22.6</v>
      </c>
      <c r="J324" s="318">
        <v>22.6</v>
      </c>
      <c r="K324" s="820">
        <v>22.6</v>
      </c>
      <c r="L324" s="148" t="s">
        <v>1623</v>
      </c>
      <c r="M324" s="148">
        <v>2015</v>
      </c>
      <c r="N324" s="148">
        <v>2015</v>
      </c>
      <c r="O324" s="342" t="s">
        <v>1624</v>
      </c>
      <c r="P324" s="198" t="s">
        <v>37</v>
      </c>
      <c r="Q324" s="148"/>
      <c r="R324" s="198" t="s">
        <v>89</v>
      </c>
      <c r="S324" s="148" t="s">
        <v>35</v>
      </c>
      <c r="T324" s="148" t="s">
        <v>35</v>
      </c>
      <c r="U324" s="148" t="s">
        <v>35</v>
      </c>
      <c r="V324" s="148" t="s">
        <v>35</v>
      </c>
      <c r="W324" s="204" t="s">
        <v>66</v>
      </c>
      <c r="X324" s="148"/>
      <c r="Y324" s="148"/>
      <c r="Z324" s="148" t="s">
        <v>1625</v>
      </c>
      <c r="AA324" s="148" t="s">
        <v>91</v>
      </c>
      <c r="AB324" s="148"/>
    </row>
    <row r="325" spans="1:28" ht="25.5" hidden="1" customHeight="1">
      <c r="A325" s="166">
        <f t="shared" ref="A325:A351" si="5">A324+1</f>
        <v>284</v>
      </c>
      <c r="B325" s="69" t="s">
        <v>1626</v>
      </c>
      <c r="C325" s="10" t="s">
        <v>1627</v>
      </c>
      <c r="D325" s="53" t="s">
        <v>496</v>
      </c>
      <c r="E325" s="166" t="s">
        <v>497</v>
      </c>
      <c r="F325" s="166" t="s">
        <v>164</v>
      </c>
      <c r="G325" s="148" t="s">
        <v>1378</v>
      </c>
      <c r="H325" s="166" t="s">
        <v>348</v>
      </c>
      <c r="I325" s="313">
        <v>45.3</v>
      </c>
      <c r="J325" s="318">
        <v>45.3</v>
      </c>
      <c r="K325" s="820">
        <v>45.3</v>
      </c>
      <c r="L325" s="148" t="s">
        <v>1628</v>
      </c>
      <c r="M325" s="148">
        <v>2015</v>
      </c>
      <c r="N325" s="148">
        <v>2015</v>
      </c>
      <c r="O325" s="148" t="s">
        <v>1629</v>
      </c>
      <c r="P325" s="198" t="s">
        <v>37</v>
      </c>
      <c r="Q325" s="148"/>
      <c r="R325" s="198" t="s">
        <v>89</v>
      </c>
      <c r="S325" s="148" t="s">
        <v>35</v>
      </c>
      <c r="T325" s="148" t="s">
        <v>35</v>
      </c>
      <c r="U325" s="148" t="s">
        <v>35</v>
      </c>
      <c r="V325" s="148" t="s">
        <v>35</v>
      </c>
      <c r="W325" s="204" t="s">
        <v>66</v>
      </c>
      <c r="X325" s="148"/>
      <c r="Y325" s="148">
        <v>11211</v>
      </c>
      <c r="Z325" s="148" t="s">
        <v>1628</v>
      </c>
      <c r="AA325" s="148" t="s">
        <v>91</v>
      </c>
      <c r="AB325" s="148"/>
    </row>
    <row r="326" spans="1:28" ht="25.5" hidden="1">
      <c r="A326" s="166">
        <f t="shared" si="5"/>
        <v>285</v>
      </c>
      <c r="B326" s="220" t="s">
        <v>1630</v>
      </c>
      <c r="C326" s="10" t="s">
        <v>1631</v>
      </c>
      <c r="D326" s="53" t="s">
        <v>440</v>
      </c>
      <c r="E326" s="53" t="s">
        <v>441</v>
      </c>
      <c r="F326" s="53" t="s">
        <v>172</v>
      </c>
      <c r="G326" s="53" t="s">
        <v>1632</v>
      </c>
      <c r="H326" s="53" t="s">
        <v>235</v>
      </c>
      <c r="I326" s="905">
        <v>18.850000000000001</v>
      </c>
      <c r="J326" s="984">
        <v>18.850000000000001</v>
      </c>
      <c r="K326" s="985">
        <v>18.850000000000001</v>
      </c>
      <c r="L326" s="53" t="s">
        <v>1633</v>
      </c>
      <c r="M326" s="53">
        <v>2015</v>
      </c>
      <c r="N326" s="53">
        <v>2015</v>
      </c>
      <c r="O326" s="206" t="s">
        <v>1162</v>
      </c>
      <c r="P326" s="27" t="s">
        <v>37</v>
      </c>
      <c r="Q326" s="148"/>
      <c r="R326" s="27" t="s">
        <v>89</v>
      </c>
      <c r="S326" s="53" t="s">
        <v>35</v>
      </c>
      <c r="T326" s="53" t="s">
        <v>35</v>
      </c>
      <c r="U326" s="53" t="s">
        <v>35</v>
      </c>
      <c r="V326" s="53" t="s">
        <v>35</v>
      </c>
      <c r="W326" s="54" t="s">
        <v>66</v>
      </c>
      <c r="X326" s="148"/>
      <c r="Y326" s="148">
        <v>10055</v>
      </c>
      <c r="Z326" s="53" t="s">
        <v>1633</v>
      </c>
      <c r="AA326" s="53" t="s">
        <v>91</v>
      </c>
      <c r="AB326" s="148"/>
    </row>
    <row r="327" spans="1:28" ht="25.5" hidden="1">
      <c r="A327" s="166">
        <f t="shared" si="5"/>
        <v>286</v>
      </c>
      <c r="B327" s="220" t="s">
        <v>1634</v>
      </c>
      <c r="C327" s="10" t="s">
        <v>1635</v>
      </c>
      <c r="D327" s="53" t="s">
        <v>440</v>
      </c>
      <c r="E327" s="53" t="s">
        <v>441</v>
      </c>
      <c r="F327" s="53" t="s">
        <v>180</v>
      </c>
      <c r="G327" s="53" t="s">
        <v>635</v>
      </c>
      <c r="H327" s="166" t="s">
        <v>394</v>
      </c>
      <c r="I327" s="322">
        <v>30.795000000000002</v>
      </c>
      <c r="J327" s="986">
        <v>30.795000000000002</v>
      </c>
      <c r="K327" s="987">
        <v>30.795000000000002</v>
      </c>
      <c r="L327" s="53" t="s">
        <v>1636</v>
      </c>
      <c r="M327" s="53">
        <v>2015</v>
      </c>
      <c r="N327" s="53">
        <v>2015</v>
      </c>
      <c r="O327" s="988" t="s">
        <v>875</v>
      </c>
      <c r="P327" s="27" t="s">
        <v>37</v>
      </c>
      <c r="Q327" s="148"/>
      <c r="R327" s="27" t="s">
        <v>89</v>
      </c>
      <c r="S327" s="53" t="s">
        <v>35</v>
      </c>
      <c r="T327" s="53" t="s">
        <v>35</v>
      </c>
      <c r="U327" s="53" t="s">
        <v>35</v>
      </c>
      <c r="V327" s="53" t="s">
        <v>35</v>
      </c>
      <c r="W327" s="54" t="s">
        <v>66</v>
      </c>
      <c r="X327" s="204"/>
      <c r="Y327" s="204">
        <v>10363</v>
      </c>
      <c r="Z327" s="53" t="s">
        <v>1636</v>
      </c>
      <c r="AA327" s="53" t="s">
        <v>91</v>
      </c>
      <c r="AB327" s="148"/>
    </row>
    <row r="328" spans="1:28" ht="25.5" hidden="1">
      <c r="A328" s="166">
        <f t="shared" si="5"/>
        <v>287</v>
      </c>
      <c r="B328" s="220" t="s">
        <v>1637</v>
      </c>
      <c r="C328" s="10" t="s">
        <v>1638</v>
      </c>
      <c r="D328" s="53" t="s">
        <v>440</v>
      </c>
      <c r="E328" s="53" t="s">
        <v>441</v>
      </c>
      <c r="F328" s="53" t="s">
        <v>180</v>
      </c>
      <c r="G328" s="53" t="s">
        <v>1639</v>
      </c>
      <c r="H328" s="166" t="s">
        <v>537</v>
      </c>
      <c r="I328" s="322">
        <v>21.91</v>
      </c>
      <c r="J328" s="989">
        <v>21.91</v>
      </c>
      <c r="K328" s="985">
        <v>21.91</v>
      </c>
      <c r="L328" s="53" t="s">
        <v>1640</v>
      </c>
      <c r="M328" s="53">
        <v>2015</v>
      </c>
      <c r="N328" s="53">
        <v>2015</v>
      </c>
      <c r="O328" s="342" t="s">
        <v>1641</v>
      </c>
      <c r="P328" s="27" t="s">
        <v>37</v>
      </c>
      <c r="R328" s="27" t="s">
        <v>89</v>
      </c>
      <c r="S328" s="53" t="s">
        <v>35</v>
      </c>
      <c r="T328" s="53" t="s">
        <v>35</v>
      </c>
      <c r="U328" s="53" t="s">
        <v>35</v>
      </c>
      <c r="V328" s="53" t="s">
        <v>35</v>
      </c>
      <c r="W328" s="54" t="s">
        <v>66</v>
      </c>
      <c r="X328" s="204"/>
      <c r="Y328" s="204" t="s">
        <v>1642</v>
      </c>
      <c r="Z328" s="53" t="s">
        <v>1640</v>
      </c>
      <c r="AA328" s="53" t="s">
        <v>91</v>
      </c>
      <c r="AB328" s="148"/>
    </row>
    <row r="329" spans="1:28" ht="51" hidden="1">
      <c r="A329" s="166">
        <f t="shared" si="5"/>
        <v>288</v>
      </c>
      <c r="B329" s="220" t="s">
        <v>1643</v>
      </c>
      <c r="C329" s="48" t="s">
        <v>1644</v>
      </c>
      <c r="D329" s="53" t="s">
        <v>440</v>
      </c>
      <c r="E329" s="53" t="s">
        <v>441</v>
      </c>
      <c r="F329" s="53" t="s">
        <v>155</v>
      </c>
      <c r="G329" s="53" t="s">
        <v>1645</v>
      </c>
      <c r="H329" s="166" t="s">
        <v>490</v>
      </c>
      <c r="I329" s="322">
        <v>8.94</v>
      </c>
      <c r="J329" s="990">
        <v>0</v>
      </c>
      <c r="K329" s="985">
        <v>8.94</v>
      </c>
      <c r="L329" s="53" t="s">
        <v>1646</v>
      </c>
      <c r="M329" s="53">
        <v>2015</v>
      </c>
      <c r="N329" s="53">
        <v>2015</v>
      </c>
      <c r="O329" s="342" t="s">
        <v>1647</v>
      </c>
      <c r="P329" s="27" t="s">
        <v>37</v>
      </c>
      <c r="Q329" s="148"/>
      <c r="R329" s="27" t="s">
        <v>38</v>
      </c>
      <c r="S329" s="48" t="s">
        <v>276</v>
      </c>
      <c r="T329" s="53" t="s">
        <v>1648</v>
      </c>
      <c r="U329" s="53">
        <v>2017</v>
      </c>
      <c r="V329" s="53" t="s">
        <v>1649</v>
      </c>
      <c r="W329" s="54" t="s">
        <v>66</v>
      </c>
      <c r="X329" s="204"/>
      <c r="Y329" s="204">
        <v>11384</v>
      </c>
      <c r="Z329" s="53" t="s">
        <v>1646</v>
      </c>
      <c r="AA329" s="53" t="s">
        <v>91</v>
      </c>
      <c r="AB329" s="148"/>
    </row>
    <row r="330" spans="1:28" ht="43.5" hidden="1" customHeight="1">
      <c r="A330" s="166">
        <f t="shared" si="5"/>
        <v>289</v>
      </c>
      <c r="B330" s="220" t="s">
        <v>1650</v>
      </c>
      <c r="C330" s="234" t="s">
        <v>1651</v>
      </c>
      <c r="D330" s="53" t="s">
        <v>1652</v>
      </c>
      <c r="E330" s="53" t="s">
        <v>127</v>
      </c>
      <c r="F330" s="54" t="s">
        <v>188</v>
      </c>
      <c r="G330" s="53" t="s">
        <v>1099</v>
      </c>
      <c r="H330" s="166" t="s">
        <v>190</v>
      </c>
      <c r="I330" s="322">
        <v>7231.66</v>
      </c>
      <c r="J330" s="323">
        <v>7231.66</v>
      </c>
      <c r="K330" s="985">
        <v>7231.66</v>
      </c>
      <c r="L330" s="148" t="s">
        <v>1653</v>
      </c>
      <c r="M330" s="53">
        <v>2016</v>
      </c>
      <c r="N330" s="53">
        <v>2015</v>
      </c>
      <c r="O330" s="204" t="s">
        <v>73</v>
      </c>
      <c r="P330" s="27" t="s">
        <v>74</v>
      </c>
      <c r="Q330" s="168" t="s">
        <v>63</v>
      </c>
      <c r="R330" s="27" t="s">
        <v>89</v>
      </c>
      <c r="S330" s="234" t="s">
        <v>90</v>
      </c>
      <c r="T330" s="53" t="s">
        <v>35</v>
      </c>
      <c r="U330" s="53" t="s">
        <v>35</v>
      </c>
      <c r="V330" s="53" t="s">
        <v>35</v>
      </c>
      <c r="W330" s="66" t="s">
        <v>192</v>
      </c>
      <c r="X330" s="11"/>
      <c r="Y330" s="11"/>
      <c r="Z330" s="53" t="s">
        <v>1654</v>
      </c>
      <c r="AA330" s="53"/>
      <c r="AB330" s="148"/>
    </row>
    <row r="331" spans="1:28" ht="43.5" hidden="1" customHeight="1">
      <c r="A331" s="166">
        <f t="shared" si="5"/>
        <v>290</v>
      </c>
      <c r="B331" s="220" t="s">
        <v>1655</v>
      </c>
      <c r="C331" s="10" t="s">
        <v>1656</v>
      </c>
      <c r="D331" s="53" t="s">
        <v>496</v>
      </c>
      <c r="E331" s="53" t="s">
        <v>497</v>
      </c>
      <c r="F331" s="10" t="s">
        <v>180</v>
      </c>
      <c r="G331" s="53" t="s">
        <v>1657</v>
      </c>
      <c r="H331" s="166" t="s">
        <v>394</v>
      </c>
      <c r="I331" s="322">
        <v>5.5</v>
      </c>
      <c r="J331" s="323">
        <v>5.5</v>
      </c>
      <c r="K331" s="985">
        <v>5.5</v>
      </c>
      <c r="L331" s="148" t="s">
        <v>1658</v>
      </c>
      <c r="M331" s="53">
        <v>2016</v>
      </c>
      <c r="N331" s="53">
        <v>2016</v>
      </c>
      <c r="O331" s="11" t="s">
        <v>1659</v>
      </c>
      <c r="P331" s="27" t="s">
        <v>37</v>
      </c>
      <c r="Q331" s="148"/>
      <c r="R331" s="27" t="s">
        <v>89</v>
      </c>
      <c r="S331" s="10" t="s">
        <v>35</v>
      </c>
      <c r="T331" s="53" t="s">
        <v>35</v>
      </c>
      <c r="U331" s="53" t="s">
        <v>35</v>
      </c>
      <c r="V331" s="53" t="s">
        <v>35</v>
      </c>
      <c r="W331" s="204" t="s">
        <v>66</v>
      </c>
      <c r="X331" s="11"/>
      <c r="Y331" s="11"/>
      <c r="Z331" s="148" t="s">
        <v>1658</v>
      </c>
      <c r="AA331" s="53"/>
      <c r="AB331" s="148"/>
    </row>
    <row r="332" spans="1:28" ht="43.5" hidden="1" customHeight="1">
      <c r="A332" s="166">
        <f t="shared" si="5"/>
        <v>291</v>
      </c>
      <c r="B332" s="220" t="s">
        <v>1660</v>
      </c>
      <c r="C332" s="10" t="s">
        <v>1661</v>
      </c>
      <c r="D332" s="53" t="s">
        <v>496</v>
      </c>
      <c r="E332" s="53" t="s">
        <v>497</v>
      </c>
      <c r="F332" s="10" t="s">
        <v>535</v>
      </c>
      <c r="G332" s="53" t="s">
        <v>1662</v>
      </c>
      <c r="H332" s="166" t="s">
        <v>813</v>
      </c>
      <c r="I332" s="322">
        <v>87.36</v>
      </c>
      <c r="J332" s="323">
        <v>87.36</v>
      </c>
      <c r="K332" s="985">
        <v>87.36</v>
      </c>
      <c r="L332" s="148" t="s">
        <v>1663</v>
      </c>
      <c r="M332" s="53">
        <v>2016</v>
      </c>
      <c r="N332" s="53">
        <v>2016</v>
      </c>
      <c r="O332" s="11" t="s">
        <v>1664</v>
      </c>
      <c r="P332" s="27" t="s">
        <v>37</v>
      </c>
      <c r="Q332" s="148"/>
      <c r="R332" s="27" t="s">
        <v>89</v>
      </c>
      <c r="S332" s="10" t="s">
        <v>35</v>
      </c>
      <c r="T332" s="53" t="s">
        <v>35</v>
      </c>
      <c r="U332" s="53" t="s">
        <v>35</v>
      </c>
      <c r="V332" s="53" t="s">
        <v>35</v>
      </c>
      <c r="W332" s="204" t="s">
        <v>66</v>
      </c>
      <c r="X332" s="11"/>
      <c r="Y332" s="11" t="s">
        <v>1665</v>
      </c>
      <c r="Z332" s="148" t="s">
        <v>1663</v>
      </c>
      <c r="AA332" s="53"/>
      <c r="AB332" s="148"/>
    </row>
    <row r="333" spans="1:28" ht="43.5" hidden="1" customHeight="1">
      <c r="A333" s="166">
        <f t="shared" si="5"/>
        <v>292</v>
      </c>
      <c r="B333" s="220" t="s">
        <v>1666</v>
      </c>
      <c r="C333" s="10" t="s">
        <v>1667</v>
      </c>
      <c r="D333" s="53" t="s">
        <v>440</v>
      </c>
      <c r="E333" s="53" t="s">
        <v>441</v>
      </c>
      <c r="F333" s="10" t="s">
        <v>321</v>
      </c>
      <c r="G333" s="53" t="s">
        <v>1668</v>
      </c>
      <c r="H333" s="166" t="s">
        <v>518</v>
      </c>
      <c r="I333" s="322">
        <v>11.298</v>
      </c>
      <c r="J333" s="323">
        <v>11.298</v>
      </c>
      <c r="K333" s="985">
        <v>11.298</v>
      </c>
      <c r="L333" s="148" t="s">
        <v>1669</v>
      </c>
      <c r="M333" s="53">
        <v>2016</v>
      </c>
      <c r="N333" s="53">
        <v>2016</v>
      </c>
      <c r="O333" s="342" t="s">
        <v>1670</v>
      </c>
      <c r="P333" s="27" t="s">
        <v>37</v>
      </c>
      <c r="Q333" s="148"/>
      <c r="R333" s="27" t="s">
        <v>89</v>
      </c>
      <c r="S333" s="10" t="s">
        <v>35</v>
      </c>
      <c r="T333" s="53" t="s">
        <v>35</v>
      </c>
      <c r="U333" s="53" t="s">
        <v>35</v>
      </c>
      <c r="V333" s="53" t="s">
        <v>35</v>
      </c>
      <c r="W333" s="54" t="s">
        <v>66</v>
      </c>
      <c r="X333" s="11"/>
      <c r="Y333" s="11" t="s">
        <v>1671</v>
      </c>
      <c r="Z333" s="148" t="s">
        <v>1669</v>
      </c>
      <c r="AA333" s="53"/>
      <c r="AB333" s="148"/>
    </row>
    <row r="334" spans="1:28" ht="43.5" hidden="1" customHeight="1">
      <c r="A334" s="166">
        <f t="shared" si="5"/>
        <v>293</v>
      </c>
      <c r="B334" s="220" t="s">
        <v>1672</v>
      </c>
      <c r="C334" s="10" t="s">
        <v>1673</v>
      </c>
      <c r="D334" s="53" t="s">
        <v>496</v>
      </c>
      <c r="E334" s="53" t="s">
        <v>497</v>
      </c>
      <c r="F334" s="10" t="s">
        <v>155</v>
      </c>
      <c r="G334" s="53" t="s">
        <v>1604</v>
      </c>
      <c r="H334" s="166" t="s">
        <v>490</v>
      </c>
      <c r="I334" s="991">
        <v>3509.91</v>
      </c>
      <c r="J334" s="992">
        <v>0</v>
      </c>
      <c r="K334" s="993">
        <v>3509.91</v>
      </c>
      <c r="L334" s="148" t="s">
        <v>1674</v>
      </c>
      <c r="M334" s="53">
        <v>2017</v>
      </c>
      <c r="N334" s="53">
        <v>2017</v>
      </c>
      <c r="O334" s="11" t="s">
        <v>1675</v>
      </c>
      <c r="P334" s="27" t="s">
        <v>37</v>
      </c>
      <c r="Q334" s="148"/>
      <c r="R334" s="27" t="s">
        <v>89</v>
      </c>
      <c r="S334" s="10" t="s">
        <v>35</v>
      </c>
      <c r="T334" s="53" t="s">
        <v>35</v>
      </c>
      <c r="U334" s="53" t="s">
        <v>35</v>
      </c>
      <c r="V334" s="53" t="s">
        <v>35</v>
      </c>
      <c r="W334" s="54" t="s">
        <v>66</v>
      </c>
      <c r="X334" s="11" t="s">
        <v>1676</v>
      </c>
      <c r="Y334" s="11" t="s">
        <v>1677</v>
      </c>
      <c r="Z334" s="148" t="s">
        <v>1674</v>
      </c>
      <c r="AA334" s="53"/>
      <c r="AB334" s="148"/>
    </row>
    <row r="335" spans="1:28" ht="43.5" hidden="1" customHeight="1">
      <c r="A335" s="166">
        <f t="shared" si="5"/>
        <v>294</v>
      </c>
      <c r="B335" s="220" t="s">
        <v>1678</v>
      </c>
      <c r="C335" s="10" t="s">
        <v>1679</v>
      </c>
      <c r="D335" s="53" t="s">
        <v>496</v>
      </c>
      <c r="E335" s="53" t="s">
        <v>497</v>
      </c>
      <c r="F335" s="10" t="s">
        <v>535</v>
      </c>
      <c r="G335" s="53" t="s">
        <v>1680</v>
      </c>
      <c r="H335" s="166" t="s">
        <v>813</v>
      </c>
      <c r="I335" s="991">
        <v>132.97</v>
      </c>
      <c r="J335" s="994">
        <v>132.97</v>
      </c>
      <c r="K335" s="993">
        <v>132.97</v>
      </c>
      <c r="L335" s="148" t="s">
        <v>1681</v>
      </c>
      <c r="M335" s="53">
        <v>2017</v>
      </c>
      <c r="N335" s="53">
        <v>2017</v>
      </c>
      <c r="O335" s="11" t="s">
        <v>1682</v>
      </c>
      <c r="P335" s="27" t="s">
        <v>37</v>
      </c>
      <c r="Q335" s="148"/>
      <c r="R335" s="27" t="s">
        <v>89</v>
      </c>
      <c r="S335" s="10" t="s">
        <v>35</v>
      </c>
      <c r="T335" s="53" t="s">
        <v>35</v>
      </c>
      <c r="U335" s="53" t="s">
        <v>35</v>
      </c>
      <c r="V335" s="53" t="s">
        <v>35</v>
      </c>
      <c r="W335" s="54" t="s">
        <v>66</v>
      </c>
      <c r="X335" s="11"/>
      <c r="Y335" s="11" t="s">
        <v>1683</v>
      </c>
      <c r="Z335" s="148" t="s">
        <v>1681</v>
      </c>
      <c r="AA335" s="53"/>
      <c r="AB335" s="148"/>
    </row>
    <row r="336" spans="1:28" ht="43.5" hidden="1" customHeight="1">
      <c r="A336" s="166">
        <f t="shared" si="5"/>
        <v>295</v>
      </c>
      <c r="B336" s="220" t="s">
        <v>1684</v>
      </c>
      <c r="C336" s="10" t="s">
        <v>1685</v>
      </c>
      <c r="D336" s="53" t="s">
        <v>496</v>
      </c>
      <c r="E336" s="53" t="s">
        <v>497</v>
      </c>
      <c r="F336" s="10" t="s">
        <v>172</v>
      </c>
      <c r="G336" s="53" t="s">
        <v>1686</v>
      </c>
      <c r="H336" s="166" t="s">
        <v>174</v>
      </c>
      <c r="I336" s="991">
        <v>20.782399999999999</v>
      </c>
      <c r="J336" s="994">
        <v>20.782399999999999</v>
      </c>
      <c r="K336" s="993">
        <v>20.782399999999999</v>
      </c>
      <c r="L336" s="148" t="s">
        <v>1687</v>
      </c>
      <c r="M336" s="53">
        <v>2017</v>
      </c>
      <c r="N336" s="53">
        <v>2017</v>
      </c>
      <c r="O336" s="11" t="s">
        <v>1688</v>
      </c>
      <c r="P336" s="27" t="s">
        <v>37</v>
      </c>
      <c r="Q336" s="148" t="s">
        <v>1689</v>
      </c>
      <c r="R336" s="27" t="s">
        <v>89</v>
      </c>
      <c r="S336" s="10" t="s">
        <v>35</v>
      </c>
      <c r="T336" s="53" t="s">
        <v>35</v>
      </c>
      <c r="U336" s="53" t="s">
        <v>35</v>
      </c>
      <c r="V336" s="53" t="s">
        <v>35</v>
      </c>
      <c r="W336" s="54" t="s">
        <v>66</v>
      </c>
      <c r="X336" s="11"/>
      <c r="Y336" s="11"/>
      <c r="Z336" s="148" t="s">
        <v>1690</v>
      </c>
      <c r="AA336" s="53"/>
      <c r="AB336" s="148"/>
    </row>
    <row r="337" spans="1:28" ht="43.5" hidden="1" customHeight="1">
      <c r="A337" s="166">
        <f t="shared" si="5"/>
        <v>296</v>
      </c>
      <c r="B337" s="220" t="s">
        <v>1691</v>
      </c>
      <c r="C337" s="947" t="s">
        <v>1692</v>
      </c>
      <c r="D337" s="872" t="s">
        <v>440</v>
      </c>
      <c r="E337" s="872" t="s">
        <v>441</v>
      </c>
      <c r="F337" s="947" t="s">
        <v>210</v>
      </c>
      <c r="G337" s="872" t="s">
        <v>229</v>
      </c>
      <c r="H337" s="948" t="s">
        <v>212</v>
      </c>
      <c r="I337" s="880">
        <v>675</v>
      </c>
      <c r="J337" s="994">
        <v>0</v>
      </c>
      <c r="K337" s="993">
        <v>675</v>
      </c>
      <c r="L337" s="872" t="s">
        <v>1693</v>
      </c>
      <c r="M337" s="872">
        <v>2014</v>
      </c>
      <c r="N337" s="872">
        <v>2014</v>
      </c>
      <c r="O337" s="884" t="s">
        <v>1694</v>
      </c>
      <c r="P337" s="896" t="s">
        <v>37</v>
      </c>
      <c r="Q337" s="872"/>
      <c r="R337" s="896" t="s">
        <v>89</v>
      </c>
      <c r="S337" s="947" t="s">
        <v>35</v>
      </c>
      <c r="T337" s="872" t="s">
        <v>35</v>
      </c>
      <c r="U337" s="872" t="s">
        <v>35</v>
      </c>
      <c r="V337" s="872" t="s">
        <v>35</v>
      </c>
      <c r="W337" s="1028" t="s">
        <v>66</v>
      </c>
      <c r="X337" s="947" t="s">
        <v>1695</v>
      </c>
      <c r="Y337" s="947">
        <v>10188</v>
      </c>
      <c r="Z337" s="872" t="s">
        <v>1693</v>
      </c>
      <c r="AA337" s="872"/>
      <c r="AB337" s="872"/>
    </row>
    <row r="338" spans="1:28" ht="43.5" hidden="1" customHeight="1">
      <c r="A338" s="166">
        <f t="shared" si="5"/>
        <v>297</v>
      </c>
      <c r="B338" s="220" t="s">
        <v>1696</v>
      </c>
      <c r="C338" s="10" t="s">
        <v>1697</v>
      </c>
      <c r="D338" s="53" t="s">
        <v>496</v>
      </c>
      <c r="E338" s="53" t="s">
        <v>497</v>
      </c>
      <c r="F338" s="10" t="s">
        <v>535</v>
      </c>
      <c r="G338" s="53" t="s">
        <v>1417</v>
      </c>
      <c r="H338" s="197" t="s">
        <v>813</v>
      </c>
      <c r="I338" s="313">
        <v>47.318199999999997</v>
      </c>
      <c r="J338" s="995">
        <v>47.318199999999997</v>
      </c>
      <c r="K338" s="996">
        <v>47.318199999999997</v>
      </c>
      <c r="L338" s="53" t="s">
        <v>1698</v>
      </c>
      <c r="M338" s="53">
        <v>2018</v>
      </c>
      <c r="N338" s="53">
        <v>2018</v>
      </c>
      <c r="O338" s="11" t="s">
        <v>1419</v>
      </c>
      <c r="P338" s="27" t="s">
        <v>37</v>
      </c>
      <c r="Q338" s="53"/>
      <c r="R338" s="27" t="s">
        <v>89</v>
      </c>
      <c r="S338" s="10" t="s">
        <v>35</v>
      </c>
      <c r="T338" s="53" t="s">
        <v>35</v>
      </c>
      <c r="U338" s="53" t="s">
        <v>35</v>
      </c>
      <c r="V338" s="53" t="s">
        <v>35</v>
      </c>
      <c r="W338" s="54" t="s">
        <v>66</v>
      </c>
      <c r="X338" s="10"/>
      <c r="Y338" s="10" t="s">
        <v>1699</v>
      </c>
      <c r="Z338" s="53" t="s">
        <v>1698</v>
      </c>
      <c r="AA338" s="53"/>
      <c r="AB338" s="53"/>
    </row>
    <row r="339" spans="1:28" ht="43.5" hidden="1" customHeight="1">
      <c r="A339" s="166">
        <f t="shared" si="5"/>
        <v>298</v>
      </c>
      <c r="B339" s="220" t="s">
        <v>1700</v>
      </c>
      <c r="C339" s="10" t="s">
        <v>1701</v>
      </c>
      <c r="D339" s="53" t="s">
        <v>1702</v>
      </c>
      <c r="E339" s="53" t="s">
        <v>497</v>
      </c>
      <c r="F339" s="10" t="s">
        <v>535</v>
      </c>
      <c r="G339" s="53" t="s">
        <v>1703</v>
      </c>
      <c r="H339" s="197" t="s">
        <v>813</v>
      </c>
      <c r="I339" s="313">
        <v>61.7</v>
      </c>
      <c r="J339" s="997">
        <v>61.7</v>
      </c>
      <c r="K339" s="998">
        <v>61.7</v>
      </c>
      <c r="L339" s="53" t="s">
        <v>1704</v>
      </c>
      <c r="M339" s="53">
        <v>2018</v>
      </c>
      <c r="N339" s="53">
        <v>2018</v>
      </c>
      <c r="O339" s="11" t="s">
        <v>1705</v>
      </c>
      <c r="P339" s="27" t="s">
        <v>37</v>
      </c>
      <c r="Q339" s="53"/>
      <c r="R339" s="27" t="s">
        <v>89</v>
      </c>
      <c r="S339" s="10" t="s">
        <v>35</v>
      </c>
      <c r="T339" s="53" t="s">
        <v>35</v>
      </c>
      <c r="U339" s="53" t="s">
        <v>35</v>
      </c>
      <c r="V339" s="53" t="s">
        <v>35</v>
      </c>
      <c r="W339" s="54" t="s">
        <v>66</v>
      </c>
      <c r="X339" s="10"/>
      <c r="Y339" s="10" t="s">
        <v>1706</v>
      </c>
      <c r="Z339" s="53" t="s">
        <v>1704</v>
      </c>
      <c r="AA339" s="53"/>
      <c r="AB339" s="53"/>
    </row>
    <row r="340" spans="1:28" ht="43.5" hidden="1" customHeight="1">
      <c r="A340" s="166">
        <f t="shared" si="5"/>
        <v>299</v>
      </c>
      <c r="B340" s="220" t="s">
        <v>1707</v>
      </c>
      <c r="C340" s="10" t="s">
        <v>1708</v>
      </c>
      <c r="D340" s="53" t="s">
        <v>440</v>
      </c>
      <c r="E340" s="53" t="s">
        <v>441</v>
      </c>
      <c r="F340" s="10" t="s">
        <v>188</v>
      </c>
      <c r="G340" s="53" t="s">
        <v>270</v>
      </c>
      <c r="H340" s="197" t="s">
        <v>190</v>
      </c>
      <c r="I340" s="313">
        <v>20.097999999999999</v>
      </c>
      <c r="J340" s="997">
        <v>20.097999999999999</v>
      </c>
      <c r="K340" s="998">
        <v>20.097999999999999</v>
      </c>
      <c r="L340" s="53" t="s">
        <v>1709</v>
      </c>
      <c r="M340" s="53">
        <v>2019</v>
      </c>
      <c r="N340" s="53">
        <v>2019</v>
      </c>
      <c r="O340" s="11" t="s">
        <v>1710</v>
      </c>
      <c r="P340" s="27" t="s">
        <v>37</v>
      </c>
      <c r="Q340" s="53"/>
      <c r="R340" s="27" t="s">
        <v>89</v>
      </c>
      <c r="S340" s="10" t="s">
        <v>35</v>
      </c>
      <c r="T340" s="53" t="s">
        <v>35</v>
      </c>
      <c r="U340" s="53" t="s">
        <v>35</v>
      </c>
      <c r="V340" s="53" t="s">
        <v>35</v>
      </c>
      <c r="W340" s="54" t="s">
        <v>66</v>
      </c>
      <c r="X340" s="10"/>
      <c r="Y340" s="10" t="s">
        <v>1711</v>
      </c>
      <c r="Z340" s="53" t="s">
        <v>1709</v>
      </c>
      <c r="AA340" s="53"/>
      <c r="AB340" s="53"/>
    </row>
    <row r="341" spans="1:28" ht="43.5" hidden="1" customHeight="1">
      <c r="A341" s="166">
        <f t="shared" si="5"/>
        <v>300</v>
      </c>
      <c r="B341" s="220" t="s">
        <v>1712</v>
      </c>
      <c r="C341" s="10" t="s">
        <v>1713</v>
      </c>
      <c r="D341" s="53" t="s">
        <v>440</v>
      </c>
      <c r="E341" s="53" t="s">
        <v>441</v>
      </c>
      <c r="F341" s="10" t="s">
        <v>535</v>
      </c>
      <c r="G341" s="53" t="s">
        <v>1662</v>
      </c>
      <c r="H341" s="197" t="s">
        <v>813</v>
      </c>
      <c r="I341" s="313">
        <v>11.03595</v>
      </c>
      <c r="J341" s="997">
        <v>11.03595</v>
      </c>
      <c r="K341" s="998">
        <v>11.03595</v>
      </c>
      <c r="L341" s="53" t="s">
        <v>1714</v>
      </c>
      <c r="M341" s="53">
        <v>2019</v>
      </c>
      <c r="N341" s="53">
        <v>2019</v>
      </c>
      <c r="O341" s="11" t="s">
        <v>1715</v>
      </c>
      <c r="P341" s="27" t="s">
        <v>37</v>
      </c>
      <c r="Q341" s="53"/>
      <c r="R341" s="27" t="s">
        <v>89</v>
      </c>
      <c r="S341" s="10" t="s">
        <v>35</v>
      </c>
      <c r="T341" s="53" t="s">
        <v>35</v>
      </c>
      <c r="U341" s="53" t="s">
        <v>35</v>
      </c>
      <c r="V341" s="53" t="s">
        <v>35</v>
      </c>
      <c r="W341" s="54" t="s">
        <v>66</v>
      </c>
      <c r="X341" s="10"/>
      <c r="Y341" s="10" t="s">
        <v>1716</v>
      </c>
      <c r="Z341" s="53" t="s">
        <v>1714</v>
      </c>
      <c r="AA341" s="53"/>
      <c r="AB341" s="53"/>
    </row>
    <row r="342" spans="1:28" ht="43.5" hidden="1" customHeight="1">
      <c r="A342" s="166">
        <f t="shared" si="5"/>
        <v>301</v>
      </c>
      <c r="B342" s="220" t="s">
        <v>1717</v>
      </c>
      <c r="C342" s="10" t="s">
        <v>1718</v>
      </c>
      <c r="D342" s="53" t="s">
        <v>496</v>
      </c>
      <c r="E342" s="53" t="s">
        <v>497</v>
      </c>
      <c r="F342" s="10" t="s">
        <v>535</v>
      </c>
      <c r="G342" s="53" t="s">
        <v>1719</v>
      </c>
      <c r="H342" s="197" t="s">
        <v>813</v>
      </c>
      <c r="I342" s="313">
        <v>2227.3161</v>
      </c>
      <c r="J342" s="997">
        <v>2227.3161</v>
      </c>
      <c r="K342" s="998">
        <v>2227.3161</v>
      </c>
      <c r="L342" s="53" t="s">
        <v>1720</v>
      </c>
      <c r="M342" s="53">
        <v>2019</v>
      </c>
      <c r="N342" s="53">
        <v>2019</v>
      </c>
      <c r="O342" s="11" t="s">
        <v>1721</v>
      </c>
      <c r="P342" s="27" t="s">
        <v>37</v>
      </c>
      <c r="Q342" s="53"/>
      <c r="R342" s="27" t="s">
        <v>89</v>
      </c>
      <c r="S342" s="10" t="s">
        <v>35</v>
      </c>
      <c r="T342" s="53" t="s">
        <v>35</v>
      </c>
      <c r="U342" s="53" t="s">
        <v>35</v>
      </c>
      <c r="V342" s="53" t="s">
        <v>35</v>
      </c>
      <c r="W342" s="54" t="s">
        <v>66</v>
      </c>
      <c r="X342" s="10"/>
      <c r="Y342" s="10" t="s">
        <v>1722</v>
      </c>
      <c r="Z342" s="53" t="s">
        <v>1720</v>
      </c>
      <c r="AA342" s="53"/>
      <c r="AB342" s="53"/>
    </row>
    <row r="343" spans="1:28" ht="43.5" hidden="1" customHeight="1">
      <c r="A343" s="166">
        <f t="shared" si="5"/>
        <v>302</v>
      </c>
      <c r="B343" s="220" t="s">
        <v>1723</v>
      </c>
      <c r="C343" s="10" t="s">
        <v>1724</v>
      </c>
      <c r="D343" s="53" t="s">
        <v>440</v>
      </c>
      <c r="E343" s="53" t="s">
        <v>441</v>
      </c>
      <c r="F343" s="10" t="s">
        <v>535</v>
      </c>
      <c r="G343" s="53" t="s">
        <v>1662</v>
      </c>
      <c r="H343" s="197" t="s">
        <v>813</v>
      </c>
      <c r="I343" s="313">
        <v>764.20410000000004</v>
      </c>
      <c r="J343" s="997">
        <v>764.20410000000004</v>
      </c>
      <c r="K343" s="998">
        <v>764.20410000000004</v>
      </c>
      <c r="L343" s="53" t="s">
        <v>1725</v>
      </c>
      <c r="M343" s="53">
        <v>2019</v>
      </c>
      <c r="N343" s="53">
        <v>2019</v>
      </c>
      <c r="O343" s="11" t="s">
        <v>1694</v>
      </c>
      <c r="P343" s="27" t="s">
        <v>37</v>
      </c>
      <c r="Q343" s="53"/>
      <c r="R343" s="27" t="s">
        <v>89</v>
      </c>
      <c r="S343" s="10" t="s">
        <v>35</v>
      </c>
      <c r="T343" s="53" t="s">
        <v>35</v>
      </c>
      <c r="U343" s="53" t="s">
        <v>35</v>
      </c>
      <c r="V343" s="53" t="s">
        <v>35</v>
      </c>
      <c r="W343" s="54" t="s">
        <v>66</v>
      </c>
      <c r="X343" s="10"/>
      <c r="Y343" s="10" t="s">
        <v>1726</v>
      </c>
      <c r="Z343" s="53" t="s">
        <v>1725</v>
      </c>
      <c r="AA343" s="53"/>
      <c r="AB343" s="53"/>
    </row>
    <row r="344" spans="1:28" ht="43.5" hidden="1" customHeight="1">
      <c r="A344" s="166">
        <f t="shared" si="5"/>
        <v>303</v>
      </c>
      <c r="B344" s="220" t="s">
        <v>1727</v>
      </c>
      <c r="C344" s="10" t="s">
        <v>1728</v>
      </c>
      <c r="D344" s="53" t="s">
        <v>440</v>
      </c>
      <c r="E344" s="53" t="s">
        <v>441</v>
      </c>
      <c r="F344" s="10" t="s">
        <v>321</v>
      </c>
      <c r="G344" s="53" t="s">
        <v>382</v>
      </c>
      <c r="H344" s="197" t="s">
        <v>382</v>
      </c>
      <c r="I344" s="313">
        <v>139.505</v>
      </c>
      <c r="J344" s="997">
        <v>139.505</v>
      </c>
      <c r="K344" s="998">
        <v>139.505</v>
      </c>
      <c r="L344" s="53" t="s">
        <v>1729</v>
      </c>
      <c r="M344" s="53">
        <v>2018</v>
      </c>
      <c r="N344" s="53">
        <v>2019</v>
      </c>
      <c r="O344" s="11" t="s">
        <v>1730</v>
      </c>
      <c r="P344" s="27" t="s">
        <v>37</v>
      </c>
      <c r="Q344" s="53"/>
      <c r="R344" s="27" t="s">
        <v>89</v>
      </c>
      <c r="S344" s="10" t="s">
        <v>35</v>
      </c>
      <c r="T344" s="53" t="s">
        <v>35</v>
      </c>
      <c r="U344" s="53" t="s">
        <v>35</v>
      </c>
      <c r="V344" s="53" t="s">
        <v>35</v>
      </c>
      <c r="W344" s="54" t="s">
        <v>66</v>
      </c>
      <c r="X344" s="10"/>
      <c r="Y344" s="10">
        <v>8405</v>
      </c>
      <c r="Z344" s="53" t="s">
        <v>1729</v>
      </c>
      <c r="AA344" s="53"/>
      <c r="AB344" s="53"/>
    </row>
    <row r="345" spans="1:28" ht="43.5" hidden="1" customHeight="1">
      <c r="A345" s="166">
        <f t="shared" si="5"/>
        <v>304</v>
      </c>
      <c r="B345" s="220" t="s">
        <v>1731</v>
      </c>
      <c r="C345" s="10" t="s">
        <v>1732</v>
      </c>
      <c r="D345" s="53" t="s">
        <v>496</v>
      </c>
      <c r="E345" s="53" t="s">
        <v>497</v>
      </c>
      <c r="F345" s="10" t="s">
        <v>535</v>
      </c>
      <c r="G345" s="53" t="s">
        <v>1733</v>
      </c>
      <c r="H345" s="197" t="s">
        <v>813</v>
      </c>
      <c r="I345" s="313">
        <v>33.165700000000001</v>
      </c>
      <c r="J345" s="997">
        <v>33.165700000000001</v>
      </c>
      <c r="K345" s="998">
        <v>33.165700000000001</v>
      </c>
      <c r="L345" s="53" t="s">
        <v>1734</v>
      </c>
      <c r="M345" s="53">
        <v>2019</v>
      </c>
      <c r="N345" s="53">
        <v>2019</v>
      </c>
      <c r="O345" s="11" t="s">
        <v>1735</v>
      </c>
      <c r="P345" s="27" t="s">
        <v>37</v>
      </c>
      <c r="Q345" s="53"/>
      <c r="R345" s="27" t="s">
        <v>89</v>
      </c>
      <c r="S345" s="10" t="s">
        <v>35</v>
      </c>
      <c r="T345" s="53" t="s">
        <v>35</v>
      </c>
      <c r="U345" s="53" t="s">
        <v>35</v>
      </c>
      <c r="V345" s="53" t="s">
        <v>35</v>
      </c>
      <c r="W345" s="54" t="s">
        <v>66</v>
      </c>
      <c r="X345" s="10"/>
      <c r="Y345" s="10" t="s">
        <v>1736</v>
      </c>
      <c r="Z345" s="53" t="s">
        <v>1734</v>
      </c>
      <c r="AA345" s="53"/>
      <c r="AB345" s="53"/>
    </row>
    <row r="346" spans="1:28" ht="43.5" hidden="1" customHeight="1">
      <c r="A346" s="166">
        <f t="shared" si="5"/>
        <v>305</v>
      </c>
      <c r="B346" s="220" t="s">
        <v>1737</v>
      </c>
      <c r="C346" s="947" t="s">
        <v>1738</v>
      </c>
      <c r="D346" s="872" t="s">
        <v>496</v>
      </c>
      <c r="E346" s="872" t="s">
        <v>497</v>
      </c>
      <c r="F346" s="949" t="s">
        <v>155</v>
      </c>
      <c r="G346" s="872" t="s">
        <v>1143</v>
      </c>
      <c r="H346" s="948" t="s">
        <v>197</v>
      </c>
      <c r="I346" s="880">
        <v>2391.1489999999999</v>
      </c>
      <c r="J346" s="995">
        <v>395.55</v>
      </c>
      <c r="K346" s="996">
        <v>2391.1489999999999</v>
      </c>
      <c r="L346" s="872" t="s">
        <v>1739</v>
      </c>
      <c r="M346" s="872">
        <v>2019</v>
      </c>
      <c r="N346" s="872">
        <v>2019</v>
      </c>
      <c r="O346" s="999" t="s">
        <v>1740</v>
      </c>
      <c r="P346" s="896" t="s">
        <v>37</v>
      </c>
      <c r="Q346" s="872"/>
      <c r="R346" s="896" t="s">
        <v>89</v>
      </c>
      <c r="S346" s="947" t="s">
        <v>35</v>
      </c>
      <c r="T346" s="872" t="s">
        <v>35</v>
      </c>
      <c r="U346" s="872" t="s">
        <v>35</v>
      </c>
      <c r="V346" s="872" t="s">
        <v>35</v>
      </c>
      <c r="W346" s="1028" t="s">
        <v>66</v>
      </c>
      <c r="X346" s="947" t="s">
        <v>1741</v>
      </c>
      <c r="Y346" s="947" t="s">
        <v>1742</v>
      </c>
      <c r="Z346" s="872" t="s">
        <v>1739</v>
      </c>
      <c r="AA346" s="53"/>
      <c r="AB346" s="53"/>
    </row>
    <row r="347" spans="1:28" ht="43.5" hidden="1" customHeight="1">
      <c r="A347" s="166">
        <f t="shared" si="5"/>
        <v>306</v>
      </c>
      <c r="B347" s="220" t="s">
        <v>1743</v>
      </c>
      <c r="C347" s="10" t="s">
        <v>1744</v>
      </c>
      <c r="D347" s="53" t="s">
        <v>440</v>
      </c>
      <c r="E347" s="53" t="s">
        <v>441</v>
      </c>
      <c r="F347" s="10" t="s">
        <v>535</v>
      </c>
      <c r="G347" s="53" t="s">
        <v>1745</v>
      </c>
      <c r="H347" s="197" t="s">
        <v>1746</v>
      </c>
      <c r="I347" s="313">
        <v>66.324100000000001</v>
      </c>
      <c r="J347" s="997">
        <v>66.324100000000001</v>
      </c>
      <c r="K347" s="998">
        <v>66.324100000000001</v>
      </c>
      <c r="L347" s="53" t="s">
        <v>1747</v>
      </c>
      <c r="M347" s="872">
        <v>2019</v>
      </c>
      <c r="N347" s="872">
        <v>2019</v>
      </c>
      <c r="O347" s="11"/>
      <c r="P347" s="896" t="s">
        <v>37</v>
      </c>
      <c r="Q347" s="53"/>
      <c r="R347" s="896" t="s">
        <v>89</v>
      </c>
      <c r="S347" s="947" t="s">
        <v>35</v>
      </c>
      <c r="T347" s="872" t="s">
        <v>35</v>
      </c>
      <c r="U347" s="872" t="s">
        <v>35</v>
      </c>
      <c r="V347" s="872" t="s">
        <v>35</v>
      </c>
      <c r="W347" s="1028" t="s">
        <v>66</v>
      </c>
      <c r="X347" s="10"/>
      <c r="Y347" s="10" t="s">
        <v>1748</v>
      </c>
      <c r="Z347" s="53" t="s">
        <v>1747</v>
      </c>
      <c r="AA347" s="53"/>
      <c r="AB347" s="53"/>
    </row>
    <row r="348" spans="1:28" ht="43.5" hidden="1" customHeight="1">
      <c r="A348" s="166">
        <f t="shared" si="5"/>
        <v>307</v>
      </c>
      <c r="B348" s="220" t="s">
        <v>1749</v>
      </c>
      <c r="C348" s="10" t="s">
        <v>1750</v>
      </c>
      <c r="D348" s="53" t="s">
        <v>496</v>
      </c>
      <c r="E348" s="53" t="s">
        <v>497</v>
      </c>
      <c r="F348" s="10" t="s">
        <v>535</v>
      </c>
      <c r="G348" s="53" t="s">
        <v>1751</v>
      </c>
      <c r="H348" s="197" t="s">
        <v>813</v>
      </c>
      <c r="I348" s="313">
        <v>43.52</v>
      </c>
      <c r="J348" s="997">
        <v>43.52</v>
      </c>
      <c r="K348" s="998">
        <v>43.52</v>
      </c>
      <c r="L348" s="53" t="s">
        <v>1752</v>
      </c>
      <c r="M348" s="53">
        <v>2019</v>
      </c>
      <c r="N348" s="53">
        <v>2019</v>
      </c>
      <c r="O348" s="11" t="s">
        <v>1753</v>
      </c>
      <c r="P348" s="27" t="s">
        <v>37</v>
      </c>
      <c r="Q348" s="53"/>
      <c r="R348" s="27" t="s">
        <v>89</v>
      </c>
      <c r="S348" s="10" t="s">
        <v>35</v>
      </c>
      <c r="T348" s="53" t="s">
        <v>35</v>
      </c>
      <c r="U348" s="53" t="s">
        <v>35</v>
      </c>
      <c r="V348" s="53" t="s">
        <v>35</v>
      </c>
      <c r="W348" s="54" t="s">
        <v>66</v>
      </c>
      <c r="X348" s="10"/>
      <c r="Y348" s="10" t="s">
        <v>1754</v>
      </c>
      <c r="Z348" s="53" t="s">
        <v>1755</v>
      </c>
      <c r="AA348" s="53"/>
      <c r="AB348" s="53"/>
    </row>
    <row r="349" spans="1:28" ht="43.5" hidden="1" customHeight="1">
      <c r="A349" s="874">
        <f t="shared" si="5"/>
        <v>308</v>
      </c>
      <c r="B349" s="1038" t="s">
        <v>1756</v>
      </c>
      <c r="C349" s="947" t="s">
        <v>1757</v>
      </c>
      <c r="D349" s="872" t="s">
        <v>496</v>
      </c>
      <c r="E349" s="872" t="s">
        <v>497</v>
      </c>
      <c r="F349" s="947" t="s">
        <v>155</v>
      </c>
      <c r="G349" s="872" t="s">
        <v>1758</v>
      </c>
      <c r="H349" s="948" t="s">
        <v>490</v>
      </c>
      <c r="I349" s="1000">
        <v>3.2881</v>
      </c>
      <c r="J349" s="1001">
        <v>0</v>
      </c>
      <c r="K349" s="1002">
        <v>3.2881</v>
      </c>
      <c r="L349" s="872" t="s">
        <v>1759</v>
      </c>
      <c r="M349" s="872">
        <v>2019</v>
      </c>
      <c r="N349" s="872">
        <v>2019</v>
      </c>
      <c r="O349" s="999" t="s">
        <v>1760</v>
      </c>
      <c r="P349" s="896" t="s">
        <v>37</v>
      </c>
      <c r="Q349" s="872"/>
      <c r="R349" s="896" t="s">
        <v>89</v>
      </c>
      <c r="S349" s="947" t="s">
        <v>35</v>
      </c>
      <c r="T349" s="872" t="s">
        <v>35</v>
      </c>
      <c r="U349" s="872" t="s">
        <v>35</v>
      </c>
      <c r="V349" s="872" t="s">
        <v>35</v>
      </c>
      <c r="W349" s="1028" t="s">
        <v>66</v>
      </c>
      <c r="X349" s="947" t="s">
        <v>1761</v>
      </c>
      <c r="Y349" s="947" t="s">
        <v>1762</v>
      </c>
      <c r="Z349" s="872" t="s">
        <v>1759</v>
      </c>
      <c r="AA349" s="872"/>
      <c r="AB349" s="872"/>
    </row>
    <row r="350" spans="1:28" ht="43.5" hidden="1" customHeight="1">
      <c r="A350" s="874">
        <f t="shared" si="5"/>
        <v>309</v>
      </c>
      <c r="B350" s="220" t="s">
        <v>1763</v>
      </c>
      <c r="C350" s="10" t="s">
        <v>1764</v>
      </c>
      <c r="D350" s="53" t="s">
        <v>440</v>
      </c>
      <c r="E350" s="53" t="s">
        <v>441</v>
      </c>
      <c r="F350" s="10" t="s">
        <v>535</v>
      </c>
      <c r="G350" s="53" t="s">
        <v>1662</v>
      </c>
      <c r="H350" s="197" t="s">
        <v>813</v>
      </c>
      <c r="I350" s="313">
        <v>310.49310000000003</v>
      </c>
      <c r="J350" s="997">
        <v>310.49310000000003</v>
      </c>
      <c r="K350" s="998">
        <v>310.49310000000003</v>
      </c>
      <c r="L350" s="53" t="s">
        <v>1765</v>
      </c>
      <c r="M350" s="53">
        <v>2020</v>
      </c>
      <c r="N350" s="53">
        <v>2020</v>
      </c>
      <c r="O350" s="11" t="s">
        <v>1766</v>
      </c>
      <c r="P350" s="27" t="s">
        <v>37</v>
      </c>
      <c r="Q350" s="53"/>
      <c r="R350" s="27" t="s">
        <v>89</v>
      </c>
      <c r="S350" s="10" t="s">
        <v>35</v>
      </c>
      <c r="T350" s="53" t="s">
        <v>35</v>
      </c>
      <c r="U350" s="53" t="s">
        <v>35</v>
      </c>
      <c r="V350" s="53" t="s">
        <v>35</v>
      </c>
      <c r="W350" s="54" t="s">
        <v>66</v>
      </c>
      <c r="X350" s="10"/>
      <c r="Y350" s="10" t="s">
        <v>1767</v>
      </c>
      <c r="Z350" s="53" t="s">
        <v>1765</v>
      </c>
      <c r="AA350" s="53"/>
      <c r="AB350" s="53"/>
    </row>
    <row r="351" spans="1:28" ht="43.5" hidden="1" customHeight="1">
      <c r="A351" s="166">
        <f t="shared" si="5"/>
        <v>310</v>
      </c>
      <c r="B351" s="220" t="s">
        <v>2707</v>
      </c>
      <c r="C351" s="10" t="s">
        <v>2708</v>
      </c>
      <c r="D351" s="53" t="s">
        <v>496</v>
      </c>
      <c r="E351" s="53" t="s">
        <v>497</v>
      </c>
      <c r="F351" s="10" t="s">
        <v>535</v>
      </c>
      <c r="G351" s="53" t="s">
        <v>1417</v>
      </c>
      <c r="H351" s="197" t="s">
        <v>813</v>
      </c>
      <c r="I351" s="313">
        <v>63.56</v>
      </c>
      <c r="J351" s="997">
        <v>63.56</v>
      </c>
      <c r="K351" s="998">
        <v>63.56</v>
      </c>
      <c r="L351" s="53" t="s">
        <v>2709</v>
      </c>
      <c r="M351" s="53">
        <v>2020</v>
      </c>
      <c r="N351" s="53">
        <v>2020</v>
      </c>
      <c r="O351" s="11" t="s">
        <v>1419</v>
      </c>
      <c r="P351" s="27" t="s">
        <v>37</v>
      </c>
      <c r="Q351" s="53"/>
      <c r="R351" s="27" t="s">
        <v>89</v>
      </c>
      <c r="S351" s="10" t="s">
        <v>35</v>
      </c>
      <c r="T351" s="53" t="s">
        <v>35</v>
      </c>
      <c r="U351" s="53" t="s">
        <v>35</v>
      </c>
      <c r="V351" s="53" t="s">
        <v>35</v>
      </c>
      <c r="W351" s="54" t="s">
        <v>66</v>
      </c>
      <c r="X351" s="10"/>
      <c r="Y351" s="10" t="s">
        <v>2710</v>
      </c>
      <c r="Z351" s="53" t="s">
        <v>2709</v>
      </c>
      <c r="AA351" s="53"/>
      <c r="AB351" s="53"/>
    </row>
    <row r="352" spans="1:28" ht="12.75" hidden="1" customHeight="1" thickBot="1">
      <c r="B352" s="950"/>
      <c r="C352" s="223"/>
      <c r="D352" s="235"/>
      <c r="E352" s="223"/>
      <c r="F352" s="223"/>
      <c r="H352" s="951"/>
      <c r="I352" s="1003">
        <f>SUM(I3:I351)</f>
        <v>4177038.2937910007</v>
      </c>
      <c r="J352" s="1003">
        <f t="shared" ref="J352:K352" si="6">SUM(J3:J351)</f>
        <v>3471534.4851909988</v>
      </c>
      <c r="K352" s="1003">
        <f t="shared" si="6"/>
        <v>4342997.2969909972</v>
      </c>
      <c r="N352" s="961"/>
      <c r="O352" s="1004"/>
      <c r="P352" s="1004"/>
      <c r="Q352" s="961"/>
      <c r="T352" s="221"/>
      <c r="U352" s="235"/>
    </row>
    <row r="353" spans="2:26" ht="12.75" hidden="1" customHeight="1">
      <c r="B353" s="950"/>
      <c r="C353" s="223"/>
      <c r="D353" s="235"/>
      <c r="E353" s="223"/>
      <c r="F353" s="223"/>
      <c r="H353" s="951"/>
      <c r="I353" s="1005">
        <f>SUM(I3:I351)</f>
        <v>4177038.2937910007</v>
      </c>
      <c r="J353" s="1005">
        <f>SUM(J3:J351)</f>
        <v>3471534.4851909988</v>
      </c>
      <c r="K353" s="1005">
        <f>SUM(K3:K351)</f>
        <v>4342997.2969909972</v>
      </c>
      <c r="N353" s="961"/>
      <c r="O353" s="1004"/>
      <c r="P353" s="1004"/>
      <c r="Q353" s="961"/>
      <c r="T353" s="221"/>
      <c r="U353" s="235"/>
    </row>
    <row r="354" spans="2:26" ht="13.5" hidden="1" customHeight="1" thickBot="1">
      <c r="B354" s="952"/>
      <c r="D354" s="953"/>
      <c r="E354" s="223"/>
      <c r="F354" s="223"/>
      <c r="I354" s="1006">
        <f>SUM(I3:I351)</f>
        <v>4177038.2937910007</v>
      </c>
      <c r="J354" s="1006">
        <f>SUM(J3:J351)</f>
        <v>3471534.4851909988</v>
      </c>
      <c r="K354" s="1006">
        <f>SUM(K3:K351)</f>
        <v>4342997.2969909972</v>
      </c>
      <c r="M354" s="904"/>
      <c r="N354" s="1007"/>
      <c r="O354" s="1008"/>
      <c r="P354" s="1004"/>
      <c r="Q354" s="961"/>
      <c r="T354" s="221"/>
      <c r="U354" s="235"/>
    </row>
    <row r="355" spans="2:26" ht="46.5" hidden="1" customHeight="1" thickBot="1">
      <c r="B355" s="952"/>
      <c r="C355" s="1049" t="s">
        <v>1768</v>
      </c>
      <c r="D355" s="1050"/>
      <c r="E355" s="1050"/>
      <c r="F355" s="1051"/>
      <c r="G355" s="954"/>
      <c r="I355" s="1052" t="s">
        <v>1769</v>
      </c>
      <c r="J355" s="1053"/>
      <c r="K355" s="1054"/>
      <c r="M355" s="1009"/>
      <c r="N355" s="221"/>
      <c r="O355" s="961"/>
      <c r="P355" s="1004"/>
      <c r="Q355" s="1004"/>
      <c r="R355" s="232"/>
      <c r="T355" s="221"/>
      <c r="V355" s="235"/>
      <c r="W355" s="235"/>
    </row>
    <row r="356" spans="2:26" ht="46.5" hidden="1" customHeight="1" thickBot="1">
      <c r="B356" s="952"/>
      <c r="C356" s="1055" t="s">
        <v>1770</v>
      </c>
      <c r="D356" s="1056"/>
      <c r="E356" s="1056"/>
      <c r="F356" s="1057"/>
      <c r="I356" s="1058" t="s">
        <v>1771</v>
      </c>
      <c r="J356" s="1059"/>
      <c r="K356" s="1060"/>
      <c r="M356" s="1004"/>
      <c r="N356" s="1004"/>
      <c r="O356" s="235"/>
      <c r="P356" s="961"/>
      <c r="Q356" s="221"/>
      <c r="T356" s="221"/>
      <c r="Z356" s="1004"/>
    </row>
    <row r="357" spans="2:26" ht="30" hidden="1" customHeight="1" thickBot="1">
      <c r="B357" s="952"/>
      <c r="C357" s="1061" t="s">
        <v>1772</v>
      </c>
      <c r="D357" s="1062"/>
      <c r="E357" s="1062"/>
      <c r="F357" s="1063"/>
      <c r="I357" s="1064" t="s">
        <v>1773</v>
      </c>
      <c r="J357" s="1065"/>
      <c r="K357" s="1010">
        <v>349</v>
      </c>
      <c r="M357" s="1004"/>
      <c r="N357" s="1004"/>
      <c r="O357" s="235"/>
      <c r="P357" s="961"/>
      <c r="Q357" s="221"/>
      <c r="T357" s="221"/>
      <c r="Z357" s="1004"/>
    </row>
    <row r="358" spans="2:26" ht="25.5" hidden="1" customHeight="1" thickBot="1">
      <c r="B358" s="952"/>
      <c r="C358" s="1066" t="s">
        <v>1774</v>
      </c>
      <c r="D358" s="1067"/>
      <c r="E358" s="1067"/>
      <c r="F358" s="1068"/>
      <c r="I358" s="1069" t="s">
        <v>1775</v>
      </c>
      <c r="J358" s="1070"/>
      <c r="K358" s="1011">
        <f>J352</f>
        <v>3471534.4851909988</v>
      </c>
      <c r="L358" s="1012">
        <f>(K358*100)/10888900</f>
        <v>31.881406617665686</v>
      </c>
      <c r="M358" s="952" t="s">
        <v>1776</v>
      </c>
      <c r="N358" s="221"/>
      <c r="P358" s="235"/>
      <c r="Q358" s="221"/>
      <c r="T358" s="221"/>
      <c r="U358" s="235"/>
      <c r="Z358" s="235"/>
    </row>
    <row r="359" spans="2:26" ht="25.5" hidden="1" customHeight="1">
      <c r="B359" s="952"/>
      <c r="C359" s="1071"/>
      <c r="D359" s="1071"/>
      <c r="E359" s="1071"/>
      <c r="F359" s="1071"/>
      <c r="H359" s="955"/>
      <c r="I359" s="1072" t="s">
        <v>1777</v>
      </c>
      <c r="J359" s="1073"/>
      <c r="K359" s="1013">
        <f>K358-K360</f>
        <v>3368945.4851909988</v>
      </c>
      <c r="L359" s="235">
        <f>(K359*100)/10888900</f>
        <v>30.93926370148499</v>
      </c>
      <c r="M359" s="1014"/>
      <c r="O359" s="961"/>
      <c r="P359" s="1004"/>
      <c r="Q359" s="1004"/>
      <c r="R359" s="232"/>
      <c r="T359" s="221"/>
      <c r="V359" s="235"/>
      <c r="W359" s="235"/>
    </row>
    <row r="360" spans="2:26" ht="25.5" hidden="1" customHeight="1" thickBot="1">
      <c r="D360" s="956"/>
      <c r="E360" s="956"/>
      <c r="F360" s="956"/>
      <c r="G360" s="956"/>
      <c r="H360" s="955"/>
      <c r="I360" s="1074" t="s">
        <v>1778</v>
      </c>
      <c r="J360" s="1075"/>
      <c r="K360" s="1015">
        <v>102589</v>
      </c>
      <c r="L360" s="235">
        <f>(K360*100)/10880900</f>
        <v>0.94283561102482327</v>
      </c>
      <c r="M360" s="1014"/>
      <c r="O360" s="961"/>
      <c r="P360" s="1004"/>
      <c r="Q360" s="1004"/>
      <c r="R360" s="232"/>
      <c r="T360" s="221"/>
      <c r="V360" s="235"/>
      <c r="W360" s="235"/>
      <c r="Z360" s="951"/>
    </row>
    <row r="361" spans="2:26" ht="49.5" hidden="1" customHeight="1" thickBot="1">
      <c r="C361" s="1037" t="s">
        <v>1779</v>
      </c>
      <c r="D361" s="956"/>
      <c r="E361" s="956"/>
      <c r="F361" s="956"/>
      <c r="G361" s="956"/>
      <c r="H361" s="955"/>
      <c r="I361" s="1082" t="s">
        <v>1780</v>
      </c>
      <c r="J361" s="1083"/>
      <c r="K361" s="1016">
        <f>(K359*100)/10888900</f>
        <v>30.93926370148499</v>
      </c>
      <c r="L361" s="1012">
        <f>(K359*100)/10888900</f>
        <v>30.93926370148499</v>
      </c>
      <c r="M361" s="1014" t="s">
        <v>1776</v>
      </c>
      <c r="O361" s="961"/>
      <c r="P361" s="1004"/>
      <c r="Q361" s="1004"/>
      <c r="R361" s="232"/>
      <c r="T361" s="221"/>
      <c r="V361" s="235"/>
      <c r="W361" s="235"/>
      <c r="Z361" s="951"/>
    </row>
    <row r="362" spans="2:26" ht="14.25" hidden="1" customHeight="1">
      <c r="D362" s="957"/>
      <c r="E362" s="958"/>
      <c r="H362" s="955"/>
      <c r="I362" s="1084" t="s">
        <v>1781</v>
      </c>
      <c r="J362" s="1084"/>
      <c r="K362" s="1084"/>
      <c r="L362" s="223"/>
      <c r="M362" s="235"/>
      <c r="O362" s="961"/>
      <c r="P362" s="1006"/>
      <c r="Q362" s="1006"/>
      <c r="R362" s="232"/>
      <c r="T362" s="221"/>
      <c r="V362" s="235"/>
      <c r="W362" s="235"/>
      <c r="Z362" s="904"/>
    </row>
    <row r="363" spans="2:26" ht="26.25" hidden="1" customHeight="1" thickBot="1">
      <c r="G363" s="955"/>
      <c r="I363" s="904"/>
      <c r="J363" s="904"/>
      <c r="K363" s="1017"/>
      <c r="L363" s="235"/>
      <c r="M363" s="235"/>
      <c r="N363" s="961"/>
      <c r="O363" s="1006"/>
      <c r="P363" s="1006"/>
      <c r="Q363" s="961"/>
      <c r="T363" s="221"/>
      <c r="U363" s="235"/>
    </row>
    <row r="364" spans="2:26" ht="38.25" hidden="1" customHeight="1">
      <c r="G364" s="955"/>
      <c r="H364" s="1085" t="s">
        <v>1782</v>
      </c>
      <c r="I364" s="1086"/>
      <c r="J364" s="1087"/>
      <c r="L364" s="235"/>
      <c r="M364" s="235"/>
      <c r="N364" s="961"/>
      <c r="O364" s="1006"/>
      <c r="P364" s="1006"/>
      <c r="Q364" s="961"/>
      <c r="T364" s="221"/>
      <c r="U364" s="235"/>
    </row>
    <row r="365" spans="2:26" ht="25.5" hidden="1" customHeight="1">
      <c r="G365" s="955"/>
      <c r="H365" s="1088" t="s">
        <v>1783</v>
      </c>
      <c r="I365" s="1089"/>
      <c r="J365" s="1090"/>
      <c r="L365" s="235"/>
      <c r="M365" s="235"/>
      <c r="N365" s="961"/>
      <c r="O365" s="1006"/>
      <c r="P365" s="1006"/>
      <c r="Q365" s="961"/>
      <c r="T365" s="221"/>
      <c r="U365" s="235"/>
    </row>
    <row r="366" spans="2:26" ht="12" hidden="1" customHeight="1" thickBot="1">
      <c r="G366" s="955"/>
      <c r="H366" s="1091" t="s">
        <v>1784</v>
      </c>
      <c r="I366" s="1092"/>
      <c r="J366" s="1018">
        <f>K352</f>
        <v>4342997.2969909972</v>
      </c>
      <c r="K366" s="1019" t="str">
        <f>IF(K352=J366,"","revisar")</f>
        <v/>
      </c>
      <c r="L366" s="235"/>
      <c r="M366" s="235"/>
      <c r="N366" s="961"/>
      <c r="O366" s="1006"/>
      <c r="P366" s="1006"/>
      <c r="Q366" s="961"/>
      <c r="T366" s="221"/>
      <c r="U366" s="235"/>
    </row>
    <row r="367" spans="2:26" ht="26.25" customHeight="1" thickBot="1">
      <c r="G367" s="955"/>
      <c r="I367" s="904"/>
      <c r="J367" s="904"/>
      <c r="K367" s="904"/>
      <c r="L367" s="235"/>
      <c r="M367" s="235"/>
      <c r="N367" s="961"/>
      <c r="O367" s="1006"/>
      <c r="P367" s="1006"/>
      <c r="Q367" s="961"/>
      <c r="T367" s="221"/>
      <c r="U367" s="235"/>
    </row>
    <row r="368" spans="2:26" ht="27" customHeight="1" thickBot="1">
      <c r="F368" s="959" t="s">
        <v>1785</v>
      </c>
      <c r="G368" s="960" t="s">
        <v>1786</v>
      </c>
      <c r="H368" s="961"/>
      <c r="I368" s="1020">
        <f>I303+I304+I305+I306+I307+I308+I309+I310+I311+I312+I313+I314+I315+I316+I317+I318+I319+I320+I321+I322+I323+I324+I325+I326+I327+I328+I329+I330+I331+I332+I333+I334+I335+I336</f>
        <v>36194.438557999987</v>
      </c>
      <c r="J368" s="1020">
        <f>J303+J304+J305+J306+J307+J308+J309+J310+J311+J312+J313+J314+J315+J316+J317+J318+J319+J320+J321+J322+J323+J324+J325+J326+J327+J328+J329+J330+J331+J332+J333+J334+J335+J336</f>
        <v>28365.468557999993</v>
      </c>
      <c r="K368" s="1017"/>
      <c r="L368" s="1017"/>
      <c r="M368" s="235"/>
      <c r="N368" s="961"/>
      <c r="O368" s="1006"/>
      <c r="P368" s="1006"/>
      <c r="Q368" s="961"/>
      <c r="T368" s="221"/>
      <c r="U368" s="235"/>
    </row>
    <row r="369" spans="3:21" ht="61.5" customHeight="1" thickBot="1">
      <c r="C369" s="1105" t="s">
        <v>1787</v>
      </c>
      <c r="D369" s="1106"/>
      <c r="E369" s="1107"/>
      <c r="F369" s="962" t="s">
        <v>1788</v>
      </c>
      <c r="G369" s="963" t="s">
        <v>1789</v>
      </c>
      <c r="H369" s="964" t="s">
        <v>1790</v>
      </c>
      <c r="I369" s="1021" t="s">
        <v>1788</v>
      </c>
      <c r="J369" s="1039" t="s">
        <v>1789</v>
      </c>
      <c r="K369" s="1046" t="s">
        <v>2711</v>
      </c>
      <c r="L369" s="1017">
        <f>(J368*100)/3468741.84</f>
        <v>0.81774516139834696</v>
      </c>
      <c r="M369" s="235"/>
      <c r="N369" s="961"/>
      <c r="O369" s="1006"/>
      <c r="P369" s="1006"/>
      <c r="Q369" s="961"/>
      <c r="T369" s="221"/>
      <c r="U369" s="235"/>
    </row>
    <row r="370" spans="3:21" ht="36.75" customHeight="1">
      <c r="C370" s="965"/>
      <c r="D370" s="965"/>
      <c r="E370" s="965"/>
      <c r="F370" s="220"/>
      <c r="G370" s="966"/>
      <c r="H370" s="967" t="s">
        <v>1791</v>
      </c>
      <c r="I370" s="1022">
        <f>J72</f>
        <v>240536.82</v>
      </c>
      <c r="J370" s="1040">
        <f>I72</f>
        <v>240536.82</v>
      </c>
      <c r="K370" s="1045">
        <v>1</v>
      </c>
      <c r="L370" s="1017"/>
      <c r="M370" s="235"/>
      <c r="N370" s="961"/>
      <c r="O370" s="1006"/>
      <c r="P370" s="1006"/>
      <c r="Q370" s="961"/>
      <c r="T370" s="221"/>
      <c r="U370" s="235"/>
    </row>
    <row r="371" spans="3:21" ht="12.75" customHeight="1">
      <c r="C371" s="1076" t="s">
        <v>1792</v>
      </c>
      <c r="D371" s="1077"/>
      <c r="E371" s="1078"/>
      <c r="F371" s="968">
        <f>J62+J61+J60+J59+J58+J57+J55+J52+J50+J49+J48+J47+J46+J45+J44+J43+J42+J41+J40+J39+J37+J36+J35+J34+J31</f>
        <v>56040.758999999998</v>
      </c>
      <c r="G371" s="969">
        <f>I31+I33+I34+I35+I36+I37+I38+I39+I40+I41+I42+I43+I44+I45+I46+I47+I48+I49+I50+I52+I53+I54+I55+I56+I57+I58+I59+I60+I61+I62</f>
        <v>71185.669000000009</v>
      </c>
      <c r="H371" s="970" t="s">
        <v>1793</v>
      </c>
      <c r="I371" s="1023">
        <f>J3+J4+J5+J6+J7+J8+J9+J10+J11+J12+J13+J14+J15+J16+J17+J18+J19+J20+J21+J68+J73+J74+J76+J135+J154+J169+J170+J171+J172+J193+J194+J203+J204+J205+J209+J210+J211+J212+J216+J220+J238+J241+J243+J245+J246+J247+J248+J249+J250+J251+J252+J253+J255+J256+J257+J262+J263+J264+J266+J276+J283+J300+J311</f>
        <v>2574961.3499999992</v>
      </c>
      <c r="J371" s="1041">
        <f>I3+I4+I5+I6+I7+I8+I9+I10+I11+I12+I13+I14+I15+I16+I17+I18+I19+I20+I21+I68+I73+I74+I76+I135+I154+I169+I170+I171+I172+I193+I194+I203+I204+I205+I209+I210+I211+I212+I216+I220+I238+I241+I243+I245+I246+I247+I248+I249+I250+I251+I252+I253+I255+I256+I257+I262+I263+I264+I266+I276+I283+I300+I311</f>
        <v>3226747.2000000007</v>
      </c>
      <c r="K371" s="1044">
        <v>63</v>
      </c>
      <c r="L371" s="235"/>
      <c r="M371" s="235"/>
      <c r="N371" s="961"/>
      <c r="O371" s="1006"/>
      <c r="P371" s="1006"/>
      <c r="Q371" s="961"/>
      <c r="T371" s="221"/>
      <c r="U371" s="235"/>
    </row>
    <row r="372" spans="3:21" ht="15" customHeight="1">
      <c r="C372" s="1079" t="s">
        <v>1794</v>
      </c>
      <c r="D372" s="1080"/>
      <c r="E372" s="1081"/>
      <c r="F372" s="972">
        <f>J3+J5+J6+J8+J11+J23+J24+J25+J26+J27+J28+J29+J30+J32+J51+J63+J64+J65+J68+J69+J81</f>
        <v>32222.471183000001</v>
      </c>
      <c r="G372" s="973">
        <f>I3+I5+I6+I8+I11+I23+I24+I25+I26+I27+I28+I29+I30+I32+I51+I63+I64+I65+I68+I69+I81</f>
        <v>735240.47118300002</v>
      </c>
      <c r="H372" s="970" t="s">
        <v>1795</v>
      </c>
      <c r="I372" s="1023">
        <f>J25+J66+J69+J79+J81+J94+J98+J101+J102+J104+J107+J108+J117+J118+J119+J124+J125+J143+J148+J149+J150+J151+J155+J156+J174+J181+J227+J242+J270+J271+J277+J280+J282+J299+J305+J307+J308+J310+J312+J321+J327+J328+J331</f>
        <v>24023.734757999999</v>
      </c>
      <c r="J372" s="1041">
        <f>I25+I66+I69+I79+I81+I94+I98+I101+I102+I104+I107+I108+I117+I118+I119+I124+I125+I143+I148+I149+I150+I151+I155+I156+I174+I181+I227+I242+I270+I271+I277+I280+I282+I299+I305+I307+I308+I310+I312+I321+I327+I328+I331</f>
        <v>26602.924757999997</v>
      </c>
      <c r="K372" s="1044">
        <v>43</v>
      </c>
      <c r="L372" s="235"/>
      <c r="M372" s="235"/>
      <c r="N372" s="961"/>
      <c r="O372" s="1006"/>
      <c r="P372" s="1006"/>
      <c r="Q372" s="961"/>
      <c r="T372" s="221"/>
      <c r="U372" s="235"/>
    </row>
    <row r="373" spans="3:21" ht="15" customHeight="1">
      <c r="C373" s="1079" t="s">
        <v>1796</v>
      </c>
      <c r="D373" s="1080"/>
      <c r="E373" s="1081"/>
      <c r="F373" s="972">
        <f>J13</f>
        <v>60878</v>
      </c>
      <c r="G373" s="973">
        <f>I13</f>
        <v>60878</v>
      </c>
      <c r="H373" s="970" t="s">
        <v>1797</v>
      </c>
      <c r="I373" s="1023">
        <f>J22+J27+J63+J82+J95+J97+J105+J161+J185+J215+J225+J236+J259+J265+J268+J273+J275+J285+J288+J291+J293+J301+J303+J320+J329+J334+J346+J349</f>
        <v>125882.76000000001</v>
      </c>
      <c r="J373" s="1041">
        <f>I22+I27+I63+I82+I95+I97+I105+I161+I185+I215+I225+I236+I259+I265+I268+I273+I275+I285+I288+I291+I293+I301+I303+I320+I329+I334+I346+I349</f>
        <v>136604.98760000002</v>
      </c>
      <c r="K373" s="1044">
        <v>28</v>
      </c>
      <c r="L373" s="235"/>
      <c r="M373" s="235"/>
      <c r="N373" s="961"/>
      <c r="O373" s="1006"/>
      <c r="P373" s="1006"/>
      <c r="Q373" s="961"/>
      <c r="T373" s="221"/>
      <c r="U373" s="235"/>
    </row>
    <row r="374" spans="3:21" ht="15" customHeight="1">
      <c r="C374" s="1079" t="s">
        <v>1798</v>
      </c>
      <c r="D374" s="1080"/>
      <c r="E374" s="1081"/>
      <c r="F374" s="972">
        <f>J4+J7+J9+J10+J66+J71</f>
        <v>7248.2920000000004</v>
      </c>
      <c r="G374" s="973">
        <f>I4+I7+I9+I10+I66+I71</f>
        <v>118804.06199999999</v>
      </c>
      <c r="H374" s="970" t="s">
        <v>164</v>
      </c>
      <c r="I374" s="1023">
        <f>J23+J30+J40+J48+J55+J57+J59+J62+J83+J84+J88+J92+J115+J131+J153+J166+J167+J187+J199+J201+J208+J219+J226+J244+J267+J269+J274+J284+J289+J292+J295+J297+J325</f>
        <v>61053.943599999999</v>
      </c>
      <c r="J374" s="1041">
        <f>I23+I30+I38+I40+I48+I53+I54+I55+I56+I57+I59+I62+I83+I84+I88+I92+I115+I131+I153+I166+I167+I187+I199+I201+I208+I219+I226+I244+I267+I269+I274+I284+I289+I290+I292+I295+I297+I325</f>
        <v>72147.563600000009</v>
      </c>
      <c r="K374" s="1044">
        <v>38</v>
      </c>
      <c r="L374" s="235"/>
      <c r="M374" s="235"/>
      <c r="N374" s="961"/>
      <c r="O374" s="1006"/>
      <c r="P374" s="1006"/>
      <c r="Q374" s="961"/>
      <c r="T374" s="221"/>
      <c r="U374" s="235"/>
    </row>
    <row r="375" spans="3:21" ht="15" customHeight="1">
      <c r="C375" s="1079" t="s">
        <v>1799</v>
      </c>
      <c r="D375" s="1080"/>
      <c r="E375" s="1081"/>
      <c r="F375" s="974">
        <f>J16+J17+J18</f>
        <v>64649.399999999994</v>
      </c>
      <c r="G375" s="975">
        <f>I16+I17+I18</f>
        <v>6315</v>
      </c>
      <c r="H375" s="970" t="s">
        <v>535</v>
      </c>
      <c r="I375" s="1023">
        <f>J90+J109+J144+J198+J278+J279+J281+J294+J296+J302+J306+J319+J332+J335+J338+I339+J341+J342+J343+J345+J348+J351</f>
        <v>57093.56205</v>
      </c>
      <c r="J375" s="1041">
        <f>I90+I109+I144+I198+I278+I279+I281+I294+I296+I302+I306+I319+I332+I335+I338+I339+I341+I342+I343+I345+I348+I351</f>
        <v>57093.56205</v>
      </c>
      <c r="K375" s="1044">
        <v>24</v>
      </c>
      <c r="L375" s="235"/>
      <c r="M375" s="235"/>
      <c r="N375" s="961"/>
      <c r="O375" s="1006"/>
      <c r="P375" s="1006"/>
      <c r="Q375" s="961"/>
      <c r="T375" s="221"/>
      <c r="U375" s="235"/>
    </row>
    <row r="376" spans="3:21" ht="15" customHeight="1">
      <c r="C376" s="1079" t="s">
        <v>1800</v>
      </c>
      <c r="D376" s="1080"/>
      <c r="E376" s="1081"/>
      <c r="F376" s="972">
        <f>J148</f>
        <v>1837.55</v>
      </c>
      <c r="G376" s="973">
        <f>I148</f>
        <v>1837.55</v>
      </c>
      <c r="H376" s="970" t="s">
        <v>210</v>
      </c>
      <c r="I376" s="1023">
        <f>J29+J31+J65+J71+J75+J77+J80+J89+J120+J122+J123+J128+J129+J130+J132+J133+J134+J136+J138+J146+J147+J157+J158+J159+J160+J165+J168+J176+J177+J183+J184+J188+J189+J190+J191+J202+J231+J233+J235+J240+J304+J316+J337</f>
        <v>298492.78700000001</v>
      </c>
      <c r="J376" s="1041">
        <f>I29+I31+I65+I71+I75+I77+I80+I89+I120+I122+I123+I128+I129+I130+I132+I133+I134+I136+I138+I146+I147+I157+I158+I159+I160+I165+I168+I176+I177+I183+I184+I188+I189+I190+I191+I202+I231+I233+I235+I240+I304+I316+I337</f>
        <v>314540.61499999999</v>
      </c>
      <c r="K376" s="1044">
        <v>43</v>
      </c>
      <c r="L376" s="235"/>
      <c r="M376" s="235"/>
      <c r="N376" s="961"/>
      <c r="O376" s="1006"/>
      <c r="P376" s="1006"/>
      <c r="Q376" s="961"/>
      <c r="T376" s="221"/>
      <c r="U376" s="235"/>
    </row>
    <row r="377" spans="3:21" ht="15" customHeight="1">
      <c r="C377" s="1079" t="s">
        <v>1801</v>
      </c>
      <c r="D377" s="1080"/>
      <c r="E377" s="1081"/>
      <c r="F377" s="974">
        <f>J14+J15+J20+J21+J77+J147</f>
        <v>334805.05000000005</v>
      </c>
      <c r="G377" s="975">
        <f>I14+I15+I20+I21+I77+I147</f>
        <v>227180.45</v>
      </c>
      <c r="H377" s="970" t="s">
        <v>172</v>
      </c>
      <c r="I377" s="1023">
        <f>J24+J32+J33+J70+J139+J141+J145+J152+J162+J163+J164+J173+J175+J178+J179+J180+J182+J192+J200+J206+J213+J218+J232+J234+J309+J313+J314+J317+J318+J324+J326+J336+J347</f>
        <v>28354.458499999997</v>
      </c>
      <c r="J377" s="1041">
        <f>I24+I32+I33+I70+I139+I141+I145+I152+I162+I163+I164+I173+I175+I178+I179+I180+I182+I192+I200+I206+I213+I218+I232+I234+I309+I313+I314+I317+I318+I324+I326+I336+I347</f>
        <v>38418.844499999992</v>
      </c>
      <c r="K377" s="1044">
        <v>32</v>
      </c>
      <c r="L377" s="235"/>
      <c r="M377" s="235"/>
      <c r="N377" s="961"/>
      <c r="O377" s="1006"/>
      <c r="P377" s="1006"/>
      <c r="Q377" s="961"/>
      <c r="T377" s="221"/>
      <c r="U377" s="235"/>
    </row>
    <row r="378" spans="3:21" ht="15" customHeight="1">
      <c r="C378" s="1079" t="s">
        <v>1802</v>
      </c>
      <c r="D378" s="1080"/>
      <c r="E378" s="1081"/>
      <c r="F378" s="976">
        <f>J22+J67+J93+J146+J330</f>
        <v>170145.66</v>
      </c>
      <c r="G378" s="977">
        <f>I22+I67+I93+I146+I330</f>
        <v>170145.66</v>
      </c>
      <c r="H378" s="970" t="s">
        <v>1803</v>
      </c>
      <c r="I378" s="1023">
        <f>J26+J36+J37+J39+J41+J42+J43+J45+J46+J47+J49+J50+J58+J60+J61+J67+J87+J93+J96+J99+J137+J140+J207+J229+J261+J330+J340</f>
        <v>25844.428</v>
      </c>
      <c r="J378" s="1041">
        <f>I26+I36+I37+I39+I41+I42+I43+I45+I46+I47+I49+I50+I58+I60+I61+I67+I87+I93+I96+I99+I137+I140+I207+I229+I261+I330+I340</f>
        <v>25844.428</v>
      </c>
      <c r="K378" s="1044">
        <v>27</v>
      </c>
      <c r="L378" s="235"/>
      <c r="M378" s="235"/>
      <c r="N378" s="961"/>
      <c r="O378" s="1006"/>
      <c r="P378" s="1006"/>
      <c r="Q378" s="961"/>
      <c r="T378" s="221"/>
      <c r="U378" s="235"/>
    </row>
    <row r="379" spans="3:21" ht="15" customHeight="1">
      <c r="C379" s="978" t="s">
        <v>1804</v>
      </c>
      <c r="D379" s="979"/>
      <c r="E379" s="971"/>
      <c r="F379" s="972">
        <f>J316</f>
        <v>19013.439999999999</v>
      </c>
      <c r="G379" s="973">
        <f>I316</f>
        <v>19013.439999999999</v>
      </c>
      <c r="H379" s="970" t="s">
        <v>321</v>
      </c>
      <c r="I379" s="1023">
        <f>J51+J64+J78+J86+J91+J100+J103+J106+J110+J111+J112+J113+J114+J116+J121+J142+J195+J197+J239+J254+J315+J333+J344</f>
        <v>7910.3611830000018</v>
      </c>
      <c r="J379" s="1041">
        <f>I51+I64+I78+I86+I91+I100+I103+I106+I110+I111+I112+I113+I114+I116+I121+I142+I195+I197+I239+I254+I315+I333+I344</f>
        <v>10932.971183000001</v>
      </c>
      <c r="K379" s="1044">
        <v>23</v>
      </c>
      <c r="L379" s="235"/>
      <c r="M379" s="235"/>
      <c r="N379" s="961"/>
      <c r="O379" s="1006"/>
      <c r="P379" s="1006"/>
      <c r="Q379" s="961"/>
      <c r="T379" s="221"/>
      <c r="U379" s="235"/>
    </row>
    <row r="380" spans="3:21" ht="15" customHeight="1" thickBot="1">
      <c r="C380" s="1101" t="s">
        <v>1805</v>
      </c>
      <c r="D380" s="1102"/>
      <c r="E380" s="1102"/>
      <c r="F380" s="972">
        <f>J80</f>
        <v>47433</v>
      </c>
      <c r="G380" s="973">
        <f>I80</f>
        <v>47433</v>
      </c>
      <c r="H380" s="980" t="s">
        <v>201</v>
      </c>
      <c r="I380" s="1024">
        <f>J28+J34+J35+J44+J52+J85+J126+J127+J186+J196+J214+J217+J221+J222+J223+J224+J228+J230+J237+J258+J260+J272+J286+J287+J298+J322+J323</f>
        <v>27069.787000000008</v>
      </c>
      <c r="J380" s="1042">
        <f>I28+I34+I35+I44+I52+I85+I126+I127+I186+I196+I214+I217+I221+I222+I223+I224+I228+I230+I237+I258+I260+I272+I286+I287+I298+I322+I323</f>
        <v>27257.884000000005</v>
      </c>
      <c r="K380" s="1047">
        <v>27</v>
      </c>
      <c r="L380" s="235"/>
      <c r="M380" s="235"/>
      <c r="N380" s="961"/>
      <c r="O380" s="1006"/>
      <c r="P380" s="1006"/>
      <c r="Q380" s="961"/>
      <c r="T380" s="221"/>
      <c r="U380" s="235"/>
    </row>
    <row r="381" spans="3:21" ht="15.75" customHeight="1" thickBot="1">
      <c r="C381" s="1101" t="s">
        <v>1806</v>
      </c>
      <c r="D381" s="1102"/>
      <c r="E381" s="1102"/>
      <c r="F381" s="981">
        <f>J85</f>
        <v>5372</v>
      </c>
      <c r="G381" s="982">
        <f>I85</f>
        <v>5372</v>
      </c>
      <c r="H381" s="983" t="s">
        <v>1807</v>
      </c>
      <c r="I381" s="1025">
        <f>I370+I371+I372+I373+I374+I375+I376+I377+I378+I379+I380</f>
        <v>3471223.9920909982</v>
      </c>
      <c r="J381" s="1043">
        <f>J370+J371+J372+J373+J374+J375+J376+J377+J378+J379+J380</f>
        <v>4176727.8006910007</v>
      </c>
      <c r="K381" s="1048">
        <f>SUM(K370:K380)</f>
        <v>349</v>
      </c>
      <c r="L381" s="235"/>
      <c r="M381" s="235"/>
      <c r="N381" s="961"/>
      <c r="O381" s="1006"/>
      <c r="P381" s="1006"/>
      <c r="Q381" s="961"/>
      <c r="T381" s="221"/>
      <c r="U381" s="235"/>
    </row>
    <row r="382" spans="3:21">
      <c r="C382" s="1079" t="s">
        <v>1808</v>
      </c>
      <c r="D382" s="1080"/>
      <c r="E382" s="1081"/>
      <c r="F382" s="972">
        <f>J150+J149</f>
        <v>158.49700000000001</v>
      </c>
      <c r="G382" s="982">
        <f>I149+I150</f>
        <v>158.49700000000001</v>
      </c>
      <c r="I382" s="221" t="str">
        <f>IF(J352=I381,"","revisar")</f>
        <v>revisar</v>
      </c>
      <c r="L382" s="235"/>
      <c r="M382" s="235"/>
      <c r="N382" s="961"/>
      <c r="O382" s="1006"/>
      <c r="P382" s="1006"/>
      <c r="Q382" s="961"/>
      <c r="T382" s="221"/>
      <c r="U382" s="235"/>
    </row>
    <row r="383" spans="3:21" ht="15" customHeight="1">
      <c r="C383" s="1079" t="s">
        <v>1809</v>
      </c>
      <c r="D383" s="1080"/>
      <c r="E383" s="1081"/>
      <c r="F383" s="972">
        <f>J151</f>
        <v>38.28</v>
      </c>
      <c r="G383" s="982">
        <f>I151</f>
        <v>38.28</v>
      </c>
      <c r="I383" s="1026" t="str">
        <f>IF(J352=I381,"","revisar")</f>
        <v>revisar</v>
      </c>
      <c r="J383" s="1026"/>
      <c r="K383" s="1027"/>
      <c r="L383" s="1027"/>
      <c r="M383" s="1027"/>
      <c r="N383" s="961"/>
      <c r="O383" s="1006"/>
      <c r="P383" s="1006"/>
      <c r="Q383" s="961"/>
      <c r="T383" s="221"/>
      <c r="U383" s="235"/>
    </row>
    <row r="384" spans="3:21" ht="15" customHeight="1">
      <c r="C384" s="1103" t="s">
        <v>1810</v>
      </c>
      <c r="D384" s="1104"/>
      <c r="E384" s="1104"/>
      <c r="F384" s="972">
        <f>J96</f>
        <v>2673</v>
      </c>
      <c r="G384" s="982">
        <f>I96</f>
        <v>2673</v>
      </c>
      <c r="I384" s="961"/>
      <c r="J384" s="955"/>
      <c r="K384" s="1027"/>
      <c r="L384" s="1027"/>
      <c r="M384" s="1027"/>
      <c r="N384" s="961"/>
      <c r="O384" s="1006"/>
      <c r="P384" s="1006"/>
      <c r="Q384" s="961"/>
      <c r="T384" s="221"/>
      <c r="U384" s="235"/>
    </row>
    <row r="385" spans="3:21" ht="15" customHeight="1">
      <c r="C385" s="1079" t="s">
        <v>1811</v>
      </c>
      <c r="D385" s="1080"/>
      <c r="E385" s="1081"/>
      <c r="F385" s="972">
        <f>J83+J84+J88+J92+J97+J109+J138+J139+J143+J144+J152+J166+J167+J173+J199+J201+J203+J204+J205+J206+J209+J210+J212+J216+J217+J220+J221+J222+J226+J230+J245+J246+J247+J248+J249+J250+J251+J252+J253+J255+J256+J262+J267+J268+J269+J273+J274+J276+J278+J279+J281+J285+J286+J288+J291+J294+J295+J301+J302+J306+J310+J319+J322+J323+J325+J331+J332+J334+J335+J336+J338+J339+J342+J345+J346+J347+J348+J349+J351</f>
        <v>46918.797758000008</v>
      </c>
      <c r="G385" s="1030">
        <f>I83+I84+I88+I92+I97+I109+I138+I139+I143+I144+I152+I166+I167+I173+I199+I201+I203+I204+I205+I206+I209+I210+I212+I216+I217+I220+I221+I222+I226+I230+I245+I246+I247+I248+I249+I250+I251+I252+I253+I255+I256+I262+I267+I268+I269+I273+I274+I276+I278+I279+I281+I285+I286+I288+I291+I294+I295+I301+I302+I306+I310+I319+I322+I323+I325+I331+I332+I334+I335+I336+I338+I339+I342+I345+I346+I347+I348+I349+I351</f>
        <v>55322.353557999995</v>
      </c>
      <c r="I385" s="961"/>
      <c r="J385" s="955"/>
      <c r="K385" s="1027"/>
      <c r="L385" s="1027"/>
      <c r="M385" s="1027"/>
      <c r="N385" s="961"/>
      <c r="O385" s="1006"/>
      <c r="P385" s="1006"/>
      <c r="Q385" s="961"/>
      <c r="T385" s="221"/>
      <c r="U385" s="235"/>
    </row>
    <row r="386" spans="3:21" ht="15.75" customHeight="1">
      <c r="C386" s="1079" t="s">
        <v>1812</v>
      </c>
      <c r="D386" s="1080"/>
      <c r="E386" s="1081"/>
      <c r="F386" s="976">
        <f>J73+J74+J75+J76+J78+J79+J82+J86+J87+J89+J91+J94+J95+J98+J99+J100+J101+J102+J103+J104+J105+J106+J107+J108+J110+J111+J112+J113+J114+J115+J116+J117+J118+J119+J120+J121+J122+J123+J124+J125+J126+J127+J128+J129+J130+J131+J132+J133+J134+J135+J136+J137+J140+J141+J142+J145+J153+J154+J155+J156+J157+J158+J159+J160+J161+J162+J163+J164+J165+J168+J169+J170+J171+J172+J174+J175+J176+J177+J178+J179+J180+J181+J182+J183+J184+J185+J186+J187+J188+J189+J190+J191+J192+J193+J194+J195+J196+J197+J198+J200+J202+J207+J208+J211+J213+J214+J215+J218+J219+J223+J224+J225+J227+J228+J229+J231+J232+J233+J234+J235+J236+J237+J238+J239+J240+J241+J242+J243+J244+J254+J257+J258+J259+J260+J261+J263+J264+J265+J266+J270+J271+J272+J275+J277+J280+J282+J283+J284+J287+J289+J290+J292+J293+J296+J297+J298+J299+J303+J300+J304+J305+J307+J308+J309+J311+J312+J313+J314+J315+J317+J318+J320+J321+J324+J326+J327+J328+J329+J333+J337+J340+J341+J343+J344+J350</f>
        <v>30560.018250000008</v>
      </c>
      <c r="G386" s="1031">
        <f>I73+I74+I75+I76+I78+I79+I82+I86+I87+I89+I91+I94+I95+I98+I99+I100+I101+I102+I103+I104+I105+I106+I107+I108+I110+I111+I112+I113+I114+I115+I116+I117+I118+I119+I120+I121+I122+I123+I124+I125+I126+I127+I128+I129+I130+I131+I132+I133+I134+I135+I136+I137+I140+I141+I142+I145+I153+I154+I155+I156+I157+I158+I159+I160+I161+I162+I163+I164+I165+I168+I169+I170+I171+I172+I174+I175+I176+I177+I178+I179+I180+I181+I182+I183+I184+I185+I186+I187+I188+I189+I191+I190+I192+I193+I194+I195+I196+I197+I198+I200+I202+I207+I208+I211+I213+I214+I215+I218+I219+I223+I224+I225+I227+I228+I229+I231+I232+I233+I234+I235+I236+I237+I238+I239+I240+I241+I242+I243+I244+I254+I257+I258+I259+I260+I261+I263+I264+I265+I266+I270+I271+I272+I275+I277+I280+I282+I283+I284+I287+I289+I290+I292+I293+I296+I297+I298+I299+I300+I303+I304+I305+I307+I308+I309+I311+I312+I313+I314+I315+I317+I318+I320+I321+I324+I326+I327+I328+I329+I333+I337+I340+I341+I343+I344+I350</f>
        <v>63900.591049999988</v>
      </c>
      <c r="I386" s="961"/>
      <c r="J386" s="955"/>
      <c r="K386" s="1027"/>
      <c r="L386" s="1027"/>
      <c r="M386" s="1027"/>
      <c r="N386" s="961"/>
      <c r="O386" s="1006"/>
      <c r="P386" s="1006"/>
      <c r="Q386" s="961"/>
      <c r="T386" s="221"/>
      <c r="U386" s="235"/>
    </row>
    <row r="387" spans="3:21" ht="19.5" customHeight="1">
      <c r="C387" s="1093" t="s">
        <v>1813</v>
      </c>
      <c r="D387" s="1094"/>
      <c r="E387" s="1095"/>
      <c r="F387" s="1032">
        <f>J12+J19+J70+J72+J90</f>
        <v>2591540.27</v>
      </c>
      <c r="G387" s="1033">
        <f>I12+I19+I70+I72+I90</f>
        <v>2591540.27</v>
      </c>
      <c r="K387" s="1027"/>
      <c r="L387" s="1027"/>
      <c r="M387" s="1027"/>
      <c r="N387" s="221"/>
      <c r="O387" s="1006"/>
      <c r="P387" s="1006"/>
      <c r="Q387" s="221"/>
      <c r="T387" s="221"/>
      <c r="U387" s="235"/>
    </row>
    <row r="388" spans="3:21" ht="19.5" customHeight="1">
      <c r="C388" s="1096" t="s">
        <v>1807</v>
      </c>
      <c r="D388" s="1097"/>
      <c r="E388" s="1098"/>
      <c r="F388" s="1034">
        <f>SUM(F371:F387)</f>
        <v>3471534.4851909997</v>
      </c>
      <c r="G388" s="1035">
        <f>G371+G372+G373+G374+G375+G376+G377+G378+G379+G380+G381+G382+G383+G384+G385+G386+G387</f>
        <v>4177038.2937909998</v>
      </c>
      <c r="K388" s="1027"/>
      <c r="L388" s="1027"/>
      <c r="M388" s="1027"/>
      <c r="N388" s="221"/>
      <c r="O388" s="1006"/>
      <c r="P388" s="1006"/>
      <c r="Q388" s="221"/>
      <c r="T388" s="221"/>
      <c r="U388" s="235"/>
    </row>
    <row r="389" spans="3:21" ht="19.5" customHeight="1">
      <c r="F389" s="1036"/>
      <c r="G389" s="1026"/>
      <c r="N389" s="221"/>
      <c r="O389" s="235"/>
      <c r="P389" s="235"/>
      <c r="Q389" s="221"/>
      <c r="T389" s="221"/>
      <c r="U389" s="235"/>
    </row>
    <row r="390" spans="3:21" ht="24.75" customHeight="1">
      <c r="N390" s="221"/>
      <c r="O390" s="235"/>
      <c r="P390" s="235"/>
      <c r="Q390" s="221"/>
      <c r="T390" s="221"/>
      <c r="U390" s="235"/>
    </row>
    <row r="391" spans="3:21" ht="24.75" customHeight="1">
      <c r="F391" s="904"/>
      <c r="N391" s="221"/>
      <c r="O391" s="235"/>
      <c r="P391" s="235"/>
      <c r="Q391" s="221"/>
      <c r="T391" s="221"/>
      <c r="U391" s="235"/>
    </row>
    <row r="392" spans="3:21">
      <c r="N392" s="221"/>
      <c r="O392" s="235"/>
      <c r="P392" s="235"/>
      <c r="Q392" s="221"/>
      <c r="T392" s="221"/>
      <c r="U392" s="235"/>
    </row>
    <row r="393" spans="3:21">
      <c r="C393" s="223"/>
      <c r="D393" s="235"/>
      <c r="E393" s="223"/>
      <c r="F393" s="223"/>
    </row>
    <row r="394" spans="3:21">
      <c r="C394" s="223"/>
      <c r="D394" s="235"/>
      <c r="E394" s="223"/>
      <c r="F394" s="223"/>
    </row>
    <row r="396" spans="3:21">
      <c r="C396" s="223"/>
      <c r="D396" s="235"/>
      <c r="E396" s="223"/>
      <c r="F396" s="223"/>
    </row>
  </sheetData>
  <sheetProtection sort="0" autoFilter="0" pivotTables="0"/>
  <autoFilter ref="A2:AB366" xr:uid="{00000000-0009-0000-0000-000000000000}">
    <filterColumn colId="2">
      <filters>
        <filter val="Astillero Municipal Volcán de Acatenango"/>
        <filter val="Estación Científica Refugio del Quetzal - Volcán Atitlán"/>
        <filter val="Volcán Acatenango"/>
        <filter val="Volcán Agua"/>
        <filter val="Volcán Alzatate"/>
        <filter val="Volcán Amayo"/>
        <filter val="Volcán Cerro Quemado"/>
        <filter val="Volcán Cerro Redondo"/>
        <filter val="Volcán Chicabal"/>
        <filter val="Volcán Chingo"/>
        <filter val="Volcán Cruz Quemada"/>
        <filter val="Volcán Culma"/>
        <filter val="Volcán de Pacaya y  Laguna de Calderas"/>
        <filter val="Volcán de Suchitán"/>
        <filter val="Volcán Fuego"/>
        <filter val="Volcán Ixtepeque"/>
        <filter val="Volcán Jumay"/>
        <filter val="Volcán Jumaytepeque"/>
        <filter val="Volcán Lacandón"/>
        <filter val="Volcán Las Víboras"/>
        <filter val="Volcán Moyuta"/>
        <filter val="Volcán Pacaya"/>
        <filter val="Volcán Santa María"/>
        <filter val="Volcán Santiaguito"/>
        <filter val="Volcán Santo Tomás"/>
        <filter val="Volcán Siete Orejas"/>
        <filter val="Volcán Tacaná"/>
        <filter val="Volcán Tahual"/>
        <filter val="Volcán Tajumulco"/>
        <filter val="Volcán Tecuamburro"/>
        <filter val="Volcán Tobón"/>
        <filter val="Volcán y Laguna de Ipala"/>
        <filter val="Volcán Zunil"/>
      </filters>
    </filterColumn>
    <filterColumn colId="7">
      <filters>
        <filter val="Chimaltenango"/>
        <filter val="Chimaltenango; Sacatepéquez"/>
        <filter val="Escuintla; Sacatepéquez"/>
        <filter val="Sacatepéquez; Chimaltenango; Escuintla"/>
        <filter val="Sololá; Quetzaltenango; Suchitepéquez"/>
        <filter val="Suchitepéquez"/>
      </filters>
    </filterColumn>
  </autoFilter>
  <mergeCells count="36">
    <mergeCell ref="C386:E386"/>
    <mergeCell ref="C387:E387"/>
    <mergeCell ref="C388:E388"/>
    <mergeCell ref="AD20:AD21"/>
    <mergeCell ref="AF24:AF25"/>
    <mergeCell ref="C381:E381"/>
    <mergeCell ref="C382:E382"/>
    <mergeCell ref="C383:E383"/>
    <mergeCell ref="C384:E384"/>
    <mergeCell ref="C385:E385"/>
    <mergeCell ref="C375:E375"/>
    <mergeCell ref="C376:E376"/>
    <mergeCell ref="C377:E377"/>
    <mergeCell ref="C378:E378"/>
    <mergeCell ref="C380:E380"/>
    <mergeCell ref="C369:E369"/>
    <mergeCell ref="C371:E371"/>
    <mergeCell ref="C372:E372"/>
    <mergeCell ref="C373:E373"/>
    <mergeCell ref="C374:E374"/>
    <mergeCell ref="I361:J361"/>
    <mergeCell ref="I362:K362"/>
    <mergeCell ref="H364:J364"/>
    <mergeCell ref="H365:J365"/>
    <mergeCell ref="H366:I366"/>
    <mergeCell ref="C358:F358"/>
    <mergeCell ref="I358:J358"/>
    <mergeCell ref="C359:F359"/>
    <mergeCell ref="I359:J359"/>
    <mergeCell ref="I360:J360"/>
    <mergeCell ref="C355:F355"/>
    <mergeCell ref="I355:K355"/>
    <mergeCell ref="C356:F356"/>
    <mergeCell ref="I356:K356"/>
    <mergeCell ref="C357:F357"/>
    <mergeCell ref="I357:J357"/>
  </mergeCells>
  <pageMargins left="0.235416666666667" right="0.70763888888888904" top="0.31388888888888899" bottom="0.74791666666666701" header="0.31388888888888899" footer="0.31388888888888899"/>
  <pageSetup scale="80" orientation="landscape" verticalDpi="300"/>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2:I38"/>
  <sheetViews>
    <sheetView topLeftCell="A10" workbookViewId="0">
      <selection activeCell="M16" sqref="M16"/>
    </sheetView>
  </sheetViews>
  <sheetFormatPr baseColWidth="10" defaultColWidth="9" defaultRowHeight="15"/>
  <cols>
    <col min="1" max="1" width="6.5703125" customWidth="1"/>
    <col min="3" max="3" width="8.42578125" customWidth="1"/>
    <col min="5" max="5" width="35" customWidth="1"/>
    <col min="6" max="6" width="14.7109375" customWidth="1"/>
    <col min="7" max="7" width="12" bestFit="1" customWidth="1"/>
    <col min="8" max="8" width="11.7109375" customWidth="1"/>
    <col min="10" max="10" width="11.7109375" customWidth="1"/>
  </cols>
  <sheetData>
    <row r="2" spans="2:9" ht="57.75" customHeight="1">
      <c r="B2" s="614" t="s">
        <v>2049</v>
      </c>
      <c r="C2" s="615" t="s">
        <v>2033</v>
      </c>
      <c r="D2" s="616" t="s">
        <v>2044</v>
      </c>
      <c r="E2" s="616" t="s">
        <v>2050</v>
      </c>
      <c r="F2" s="617" t="s">
        <v>2051</v>
      </c>
      <c r="G2" s="618" t="s">
        <v>2052</v>
      </c>
      <c r="H2" s="619" t="s">
        <v>2053</v>
      </c>
      <c r="I2" s="664" t="s">
        <v>2054</v>
      </c>
    </row>
    <row r="3" spans="2:9">
      <c r="B3" s="1149" t="s">
        <v>2055</v>
      </c>
      <c r="C3" s="1156">
        <f>D3+D4</f>
        <v>22</v>
      </c>
      <c r="D3" s="620">
        <v>21</v>
      </c>
      <c r="E3" s="621" t="s">
        <v>30</v>
      </c>
      <c r="F3" s="622">
        <f>'LISTADO SIGAP'!G372</f>
        <v>735240.47118300002</v>
      </c>
      <c r="G3" s="622">
        <f>'LISTADO SIGAP'!$F$372</f>
        <v>32222.471183000001</v>
      </c>
      <c r="H3" s="1166">
        <f>G3+G4</f>
        <v>93100.471183000001</v>
      </c>
      <c r="I3" s="1172">
        <f>(100*H3)/H20</f>
        <v>2.6818247544465259</v>
      </c>
    </row>
    <row r="4" spans="2:9">
      <c r="B4" s="1150"/>
      <c r="C4" s="1157"/>
      <c r="D4" s="623">
        <v>1</v>
      </c>
      <c r="E4" s="624" t="s">
        <v>117</v>
      </c>
      <c r="F4" s="625">
        <f>'LISTADO SIGAP'!G373</f>
        <v>60878</v>
      </c>
      <c r="G4" s="625">
        <f>'LISTADO SIGAP'!$F$373</f>
        <v>60878</v>
      </c>
      <c r="H4" s="1167"/>
      <c r="I4" s="1173"/>
    </row>
    <row r="5" spans="2:9">
      <c r="B5" s="1151" t="s">
        <v>2056</v>
      </c>
      <c r="C5" s="1158">
        <f>D5+D6+D7</f>
        <v>10</v>
      </c>
      <c r="D5" s="627">
        <v>6</v>
      </c>
      <c r="E5" s="628" t="s">
        <v>48</v>
      </c>
      <c r="F5" s="629">
        <f>'LISTADO SIGAP'!G374</f>
        <v>118804.06199999999</v>
      </c>
      <c r="G5" s="629">
        <f>'LISTADO SIGAP'!$F$374</f>
        <v>7248.2920000000004</v>
      </c>
      <c r="H5" s="1168">
        <f>G5+G6+G7</f>
        <v>73735.241999999998</v>
      </c>
      <c r="I5" s="1174">
        <f>(H5*100)/H20</f>
        <v>2.1239956657363628</v>
      </c>
    </row>
    <row r="6" spans="2:9">
      <c r="B6" s="1151"/>
      <c r="C6" s="1159"/>
      <c r="D6" s="627">
        <v>3</v>
      </c>
      <c r="E6" s="628" t="s">
        <v>135</v>
      </c>
      <c r="F6" s="629">
        <f>'LISTADO SIGAP'!G375</f>
        <v>6315</v>
      </c>
      <c r="G6" s="629">
        <f>'LISTADO SIGAP'!$F$375</f>
        <v>64649.399999999994</v>
      </c>
      <c r="H6" s="1168"/>
      <c r="I6" s="1174"/>
    </row>
    <row r="7" spans="2:9">
      <c r="B7" s="1151"/>
      <c r="C7" s="1160"/>
      <c r="D7" s="627">
        <v>1</v>
      </c>
      <c r="E7" s="628" t="s">
        <v>840</v>
      </c>
      <c r="F7" s="629">
        <f>'LISTADO SIGAP'!G376</f>
        <v>1837.55</v>
      </c>
      <c r="G7" s="629">
        <f>'LISTADO SIGAP'!$F$376</f>
        <v>1837.55</v>
      </c>
      <c r="H7" s="1168"/>
      <c r="I7" s="1174"/>
    </row>
    <row r="8" spans="2:9">
      <c r="B8" s="1152" t="s">
        <v>2057</v>
      </c>
      <c r="C8" s="1161">
        <f>D8+D9+D10+D11+D12+D13</f>
        <v>16</v>
      </c>
      <c r="D8" s="630">
        <v>6</v>
      </c>
      <c r="E8" s="631" t="s">
        <v>126</v>
      </c>
      <c r="F8" s="632">
        <f>'LISTADO SIGAP'!G377</f>
        <v>227180.45</v>
      </c>
      <c r="G8" s="632">
        <f>'LISTADO SIGAP'!$F$377</f>
        <v>334805.05000000005</v>
      </c>
      <c r="H8" s="1169">
        <f>G8+G9+G10+G11+G12+G13</f>
        <v>576927.647</v>
      </c>
      <c r="I8" s="1175">
        <f>(H8*100)/H20</f>
        <v>16.618807892045414</v>
      </c>
    </row>
    <row r="9" spans="2:9">
      <c r="B9" s="1153"/>
      <c r="C9" s="1162"/>
      <c r="D9" s="630">
        <v>5</v>
      </c>
      <c r="E9" s="631" t="s">
        <v>2023</v>
      </c>
      <c r="F9" s="632">
        <f>'LISTADO SIGAP'!G378</f>
        <v>170145.66</v>
      </c>
      <c r="G9" s="632">
        <f>'LISTADO SIGAP'!$F$378</f>
        <v>170145.66</v>
      </c>
      <c r="H9" s="1169"/>
      <c r="I9" s="1175"/>
    </row>
    <row r="10" spans="2:9">
      <c r="B10" s="1153"/>
      <c r="C10" s="1162"/>
      <c r="D10" s="630">
        <v>1</v>
      </c>
      <c r="E10" s="631" t="s">
        <v>474</v>
      </c>
      <c r="F10" s="632">
        <f>'LISTADO SIGAP'!G380</f>
        <v>47433</v>
      </c>
      <c r="G10" s="632">
        <f>'LISTADO SIGAP'!$F$380</f>
        <v>47433</v>
      </c>
      <c r="H10" s="1169"/>
      <c r="I10" s="1175"/>
    </row>
    <row r="11" spans="2:9">
      <c r="B11" s="1153"/>
      <c r="C11" s="1162"/>
      <c r="D11" s="630">
        <v>2</v>
      </c>
      <c r="E11" s="631" t="s">
        <v>847</v>
      </c>
      <c r="F11" s="632">
        <f>'LISTADO SIGAP'!G382</f>
        <v>158.49700000000001</v>
      </c>
      <c r="G11" s="633">
        <f>'LISTADO SIGAP'!$F$382</f>
        <v>158.49700000000001</v>
      </c>
      <c r="H11" s="1169"/>
      <c r="I11" s="1175"/>
    </row>
    <row r="12" spans="2:9">
      <c r="B12" s="1153"/>
      <c r="C12" s="1162"/>
      <c r="D12" s="630">
        <v>1</v>
      </c>
      <c r="E12" s="631" t="s">
        <v>2058</v>
      </c>
      <c r="F12" s="632">
        <f>'LISTADO SIGAP'!G379</f>
        <v>19013.439999999999</v>
      </c>
      <c r="G12" s="632">
        <f>'LISTADO SIGAP'!$F$379</f>
        <v>19013.439999999999</v>
      </c>
      <c r="H12" s="1169"/>
      <c r="I12" s="1175"/>
    </row>
    <row r="13" spans="2:9">
      <c r="B13" s="1154"/>
      <c r="C13" s="1163"/>
      <c r="D13" s="630">
        <v>1</v>
      </c>
      <c r="E13" s="634" t="s">
        <v>2059</v>
      </c>
      <c r="F13" s="632">
        <f>'LISTADO SIGAP'!G381</f>
        <v>5372</v>
      </c>
      <c r="G13" s="632">
        <f>'LISTADO SIGAP'!$F$381</f>
        <v>5372</v>
      </c>
      <c r="H13" s="1169"/>
      <c r="I13" s="1175"/>
    </row>
    <row r="14" spans="2:9">
      <c r="B14" s="1155" t="s">
        <v>2060</v>
      </c>
      <c r="C14" s="1164">
        <f>D14+D15+D16</f>
        <v>79</v>
      </c>
      <c r="D14" s="635">
        <v>77</v>
      </c>
      <c r="E14" s="636" t="s">
        <v>496</v>
      </c>
      <c r="F14" s="637">
        <f>'LISTADO SIGAP'!G385</f>
        <v>55322.353557999995</v>
      </c>
      <c r="G14" s="638">
        <f>'LISTADO SIGAP'!$F$385</f>
        <v>46918.797758000008</v>
      </c>
      <c r="H14" s="1170">
        <f>G14+G15+G16</f>
        <v>49630.077758000007</v>
      </c>
      <c r="I14" s="1176">
        <f>(H14*100)/H20</f>
        <v>1.4296294036459618</v>
      </c>
    </row>
    <row r="15" spans="2:9">
      <c r="B15" s="1155"/>
      <c r="C15" s="1165"/>
      <c r="D15" s="635">
        <v>1</v>
      </c>
      <c r="E15" s="636" t="s">
        <v>576</v>
      </c>
      <c r="F15" s="637">
        <f>'LISTADO SIGAP'!G384</f>
        <v>2673</v>
      </c>
      <c r="G15" s="637">
        <f>'LISTADO SIGAP'!$F$384</f>
        <v>2673</v>
      </c>
      <c r="H15" s="1171"/>
      <c r="I15" s="1176"/>
    </row>
    <row r="16" spans="2:9">
      <c r="B16" s="1155"/>
      <c r="C16" s="1165"/>
      <c r="D16" s="635">
        <v>1</v>
      </c>
      <c r="E16" s="636" t="s">
        <v>856</v>
      </c>
      <c r="F16" s="637">
        <f>'LISTADO SIGAP'!G383</f>
        <v>38.28</v>
      </c>
      <c r="G16" s="637">
        <f>'LISTADO SIGAP'!$F$383</f>
        <v>38.28</v>
      </c>
      <c r="H16" s="1171"/>
      <c r="I16" s="1176"/>
    </row>
    <row r="17" spans="2:9">
      <c r="B17" s="639" t="s">
        <v>2061</v>
      </c>
      <c r="C17" s="640">
        <v>186</v>
      </c>
      <c r="D17" s="641">
        <v>186</v>
      </c>
      <c r="E17" s="642" t="s">
        <v>440</v>
      </c>
      <c r="F17" s="643">
        <f>'LISTADO SIGAP'!G386</f>
        <v>63900.591049999988</v>
      </c>
      <c r="G17" s="644">
        <f>'LISTADO SIGAP'!$F$386</f>
        <v>30560.018250000008</v>
      </c>
      <c r="H17" s="645">
        <f t="shared" ref="H17:H19" si="0">G17</f>
        <v>30560.018250000008</v>
      </c>
      <c r="I17" s="665">
        <f>(H17*100)/H20</f>
        <v>0.88030288566523129</v>
      </c>
    </row>
    <row r="18" spans="2:9">
      <c r="B18" s="646" t="s">
        <v>2062</v>
      </c>
      <c r="C18" s="647">
        <f>D18</f>
        <v>5</v>
      </c>
      <c r="D18" s="388">
        <v>5</v>
      </c>
      <c r="E18" s="648" t="s">
        <v>105</v>
      </c>
      <c r="F18" s="649">
        <f>'LISTADO SIGAP'!G387</f>
        <v>2591540.27</v>
      </c>
      <c r="G18" s="649">
        <f>'LISTADO SIGAP'!$F$387</f>
        <v>2591540.27</v>
      </c>
      <c r="H18" s="650">
        <f t="shared" si="0"/>
        <v>2591540.27</v>
      </c>
      <c r="I18" s="588">
        <f>(H18*100)/H20</f>
        <v>74.651145798928056</v>
      </c>
    </row>
    <row r="19" spans="2:9">
      <c r="B19" s="651" t="s">
        <v>2063</v>
      </c>
      <c r="C19" s="652">
        <f>D19</f>
        <v>30</v>
      </c>
      <c r="D19" s="653">
        <v>30</v>
      </c>
      <c r="E19" s="654" t="s">
        <v>1792</v>
      </c>
      <c r="F19" s="655">
        <f>'LISTADO SIGAP'!G371</f>
        <v>71185.669000000009</v>
      </c>
      <c r="G19" s="655">
        <f>'LISTADO SIGAP'!$F$371</f>
        <v>56040.758999999998</v>
      </c>
      <c r="H19" s="656">
        <f t="shared" si="0"/>
        <v>56040.758999999998</v>
      </c>
      <c r="I19" s="666">
        <f>(H19*100)/H20</f>
        <v>1.6142935995324468</v>
      </c>
    </row>
    <row r="20" spans="2:9">
      <c r="B20" s="657"/>
      <c r="C20" s="658">
        <f t="shared" ref="C20:I20" si="1">SUM(C3:C19)</f>
        <v>348</v>
      </c>
      <c r="D20" s="658">
        <f t="shared" si="1"/>
        <v>348</v>
      </c>
      <c r="E20" s="659"/>
      <c r="F20" s="660">
        <f t="shared" si="1"/>
        <v>4177038.2937910003</v>
      </c>
      <c r="G20" s="660">
        <f t="shared" si="1"/>
        <v>3471534.4851910002</v>
      </c>
      <c r="H20" s="660">
        <f t="shared" si="1"/>
        <v>3471534.4851910002</v>
      </c>
      <c r="I20" s="667">
        <f t="shared" si="1"/>
        <v>99.999999999999986</v>
      </c>
    </row>
    <row r="22" spans="2:9">
      <c r="B22" s="661" t="s">
        <v>4</v>
      </c>
      <c r="C22" s="662" t="s">
        <v>1776</v>
      </c>
      <c r="I22" s="668"/>
    </row>
    <row r="23" spans="2:9">
      <c r="B23" s="124" t="s">
        <v>2055</v>
      </c>
      <c r="C23" s="125">
        <f>I3</f>
        <v>2.6818247544465259</v>
      </c>
    </row>
    <row r="24" spans="2:9">
      <c r="B24" s="127" t="s">
        <v>2056</v>
      </c>
      <c r="C24" s="128">
        <f>I5</f>
        <v>2.1239956657363628</v>
      </c>
    </row>
    <row r="25" spans="2:9">
      <c r="B25" s="127" t="s">
        <v>2057</v>
      </c>
      <c r="C25" s="128">
        <f>I8</f>
        <v>16.618807892045414</v>
      </c>
    </row>
    <row r="26" spans="2:9">
      <c r="B26" s="127" t="s">
        <v>2060</v>
      </c>
      <c r="C26" s="128">
        <f>I14</f>
        <v>1.4296294036459618</v>
      </c>
    </row>
    <row r="27" spans="2:9">
      <c r="B27" s="127" t="s">
        <v>2061</v>
      </c>
      <c r="C27" s="128">
        <f t="shared" ref="C27:C29" si="2">I17</f>
        <v>0.88030288566523129</v>
      </c>
    </row>
    <row r="28" spans="2:9">
      <c r="B28" s="127" t="s">
        <v>2062</v>
      </c>
      <c r="C28" s="128">
        <f t="shared" si="2"/>
        <v>74.651145798928056</v>
      </c>
    </row>
    <row r="29" spans="2:9">
      <c r="B29" s="130" t="s">
        <v>2063</v>
      </c>
      <c r="C29" s="131">
        <f t="shared" si="2"/>
        <v>1.6142935995324468</v>
      </c>
    </row>
    <row r="38" spans="6:6">
      <c r="F38" s="663"/>
    </row>
  </sheetData>
  <mergeCells count="16">
    <mergeCell ref="H3:H4"/>
    <mergeCell ref="H5:H7"/>
    <mergeCell ref="H8:H13"/>
    <mergeCell ref="H14:H16"/>
    <mergeCell ref="I3:I4"/>
    <mergeCell ref="I5:I7"/>
    <mergeCell ref="I8:I13"/>
    <mergeCell ref="I14:I16"/>
    <mergeCell ref="B3:B4"/>
    <mergeCell ref="B5:B7"/>
    <mergeCell ref="B8:B13"/>
    <mergeCell ref="B14:B16"/>
    <mergeCell ref="C3:C4"/>
    <mergeCell ref="C5:C7"/>
    <mergeCell ref="C8:C13"/>
    <mergeCell ref="C14:C16"/>
  </mergeCells>
  <printOptions horizontalCentered="1" verticalCentered="1"/>
  <pageMargins left="0.51180555555555596" right="0.51180555555555596" top="0.55000000000000004" bottom="0.55000000000000004" header="0.31388888888888899" footer="0.31388888888888899"/>
  <pageSetup scale="95"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F3:G11"/>
  <sheetViews>
    <sheetView workbookViewId="0">
      <selection activeCell="G15" sqref="G15"/>
    </sheetView>
  </sheetViews>
  <sheetFormatPr baseColWidth="10" defaultColWidth="9" defaultRowHeight="15"/>
  <sheetData>
    <row r="3" spans="6:7">
      <c r="F3" s="612" t="s">
        <v>2045</v>
      </c>
      <c r="G3" s="613" t="s">
        <v>2064</v>
      </c>
    </row>
    <row r="4" spans="6:7">
      <c r="F4" s="124" t="s">
        <v>2055</v>
      </c>
      <c r="G4" s="125">
        <v>22</v>
      </c>
    </row>
    <row r="5" spans="6:7">
      <c r="F5" s="127" t="s">
        <v>2056</v>
      </c>
      <c r="G5" s="128">
        <v>10</v>
      </c>
    </row>
    <row r="6" spans="6:7">
      <c r="F6" s="127" t="s">
        <v>2057</v>
      </c>
      <c r="G6" s="128">
        <v>16</v>
      </c>
    </row>
    <row r="7" spans="6:7">
      <c r="F7" s="127" t="s">
        <v>2060</v>
      </c>
      <c r="G7" s="128">
        <v>79</v>
      </c>
    </row>
    <row r="8" spans="6:7">
      <c r="F8" s="127" t="s">
        <v>2061</v>
      </c>
      <c r="G8" s="128">
        <v>186</v>
      </c>
    </row>
    <row r="9" spans="6:7">
      <c r="F9" s="127" t="s">
        <v>2062</v>
      </c>
      <c r="G9" s="128">
        <v>5</v>
      </c>
    </row>
    <row r="10" spans="6:7">
      <c r="F10" s="130" t="s">
        <v>2063</v>
      </c>
      <c r="G10" s="131">
        <v>30</v>
      </c>
    </row>
    <row r="11" spans="6:7">
      <c r="F11" s="120"/>
      <c r="G11" s="120">
        <f>SUM(G4:G10)</f>
        <v>348</v>
      </c>
    </row>
  </sheetData>
  <pageMargins left="0.69930555555555596" right="0.69930555555555596"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B3:H39"/>
  <sheetViews>
    <sheetView topLeftCell="C31" zoomScale="124" zoomScaleNormal="124" workbookViewId="0">
      <selection activeCell="F36" sqref="F36"/>
    </sheetView>
  </sheetViews>
  <sheetFormatPr baseColWidth="10" defaultColWidth="9" defaultRowHeight="15"/>
  <cols>
    <col min="1" max="1" width="4.42578125" customWidth="1"/>
    <col min="2" max="2" width="31.7109375" customWidth="1"/>
    <col min="3" max="3" width="7.85546875" customWidth="1"/>
    <col min="4" max="4" width="26.28515625" customWidth="1"/>
    <col min="6" max="6" width="11.7109375" customWidth="1"/>
    <col min="7" max="7" width="18.5703125" customWidth="1"/>
    <col min="9" max="9" width="11.7109375" customWidth="1"/>
  </cols>
  <sheetData>
    <row r="3" spans="2:3">
      <c r="B3" s="560" t="s">
        <v>2045</v>
      </c>
      <c r="C3" s="561" t="s">
        <v>2064</v>
      </c>
    </row>
    <row r="4" spans="2:3">
      <c r="B4" s="562" t="s">
        <v>73</v>
      </c>
      <c r="C4" s="563">
        <f t="shared" ref="C4:C9" si="0">E32</f>
        <v>56</v>
      </c>
    </row>
    <row r="5" spans="2:3">
      <c r="B5" s="564" t="s">
        <v>2065</v>
      </c>
      <c r="C5" s="565">
        <f t="shared" si="0"/>
        <v>6</v>
      </c>
    </row>
    <row r="6" spans="2:3">
      <c r="B6" s="564" t="s">
        <v>2066</v>
      </c>
      <c r="C6" s="566">
        <f t="shared" si="0"/>
        <v>7</v>
      </c>
    </row>
    <row r="7" spans="2:3">
      <c r="B7" s="564" t="s">
        <v>2067</v>
      </c>
      <c r="C7" s="567">
        <f t="shared" si="0"/>
        <v>4</v>
      </c>
    </row>
    <row r="8" spans="2:3">
      <c r="B8" s="564" t="s">
        <v>2068</v>
      </c>
      <c r="C8" s="568">
        <v>186</v>
      </c>
    </row>
    <row r="9" spans="2:3">
      <c r="B9" s="564" t="s">
        <v>2069</v>
      </c>
      <c r="C9" s="569">
        <f t="shared" si="0"/>
        <v>7</v>
      </c>
    </row>
    <row r="10" spans="2:3">
      <c r="B10" s="570" t="s">
        <v>2070</v>
      </c>
      <c r="C10" s="571">
        <v>83</v>
      </c>
    </row>
    <row r="11" spans="2:3">
      <c r="B11" s="120"/>
      <c r="C11" s="572">
        <f>SUM(C4:C10)</f>
        <v>349</v>
      </c>
    </row>
    <row r="14" spans="2:3">
      <c r="B14" s="573" t="s">
        <v>2045</v>
      </c>
      <c r="C14" s="574" t="s">
        <v>2064</v>
      </c>
    </row>
    <row r="15" spans="2:3">
      <c r="B15" s="562" t="s">
        <v>73</v>
      </c>
      <c r="C15" s="575" t="e">
        <f t="shared" ref="C15:C21" si="1">G32</f>
        <v>#REF!</v>
      </c>
    </row>
    <row r="16" spans="2:3">
      <c r="B16" s="564" t="s">
        <v>2065</v>
      </c>
      <c r="C16" s="576" t="e">
        <f t="shared" si="1"/>
        <v>#REF!</v>
      </c>
    </row>
    <row r="17" spans="2:8">
      <c r="B17" s="564" t="s">
        <v>2066</v>
      </c>
      <c r="C17" s="577" t="e">
        <f t="shared" si="1"/>
        <v>#REF!</v>
      </c>
    </row>
    <row r="18" spans="2:8">
      <c r="B18" s="564" t="s">
        <v>2067</v>
      </c>
      <c r="C18" s="578" t="e">
        <f t="shared" si="1"/>
        <v>#REF!</v>
      </c>
    </row>
    <row r="19" spans="2:8">
      <c r="B19" s="564" t="s">
        <v>2068</v>
      </c>
      <c r="C19" s="579" t="e">
        <f t="shared" si="1"/>
        <v>#REF!</v>
      </c>
    </row>
    <row r="20" spans="2:8">
      <c r="B20" s="564" t="s">
        <v>2069</v>
      </c>
      <c r="C20" s="580" t="e">
        <f t="shared" si="1"/>
        <v>#REF!</v>
      </c>
    </row>
    <row r="21" spans="2:8">
      <c r="B21" s="570" t="s">
        <v>2070</v>
      </c>
      <c r="C21" s="131" t="e">
        <f t="shared" si="1"/>
        <v>#REF!</v>
      </c>
    </row>
    <row r="22" spans="2:8">
      <c r="B22" s="120"/>
      <c r="C22" s="581" t="e">
        <f>SUM(C15:C21)</f>
        <v>#REF!</v>
      </c>
    </row>
    <row r="29" spans="2:8">
      <c r="F29" s="362"/>
    </row>
    <row r="31" spans="2:8" ht="48">
      <c r="D31" s="582" t="s">
        <v>2071</v>
      </c>
      <c r="E31" s="583" t="s">
        <v>2072</v>
      </c>
      <c r="F31" s="583" t="s">
        <v>2073</v>
      </c>
      <c r="G31" s="584" t="s">
        <v>2074</v>
      </c>
    </row>
    <row r="32" spans="2:8">
      <c r="D32" s="585" t="s">
        <v>73</v>
      </c>
      <c r="E32" s="586">
        <v>56</v>
      </c>
      <c r="F32" s="587">
        <f>'LISTADO SIGAP'!J6+'LISTADO SIGAP'!J8+'LISTADO SIGAP'!J11+'LISTADO SIGAP'!J12+'LISTADO SIGAP'!J13+'LISTADO SIGAP'!J14+'LISTADO SIGAP'!J15+'LISTADO SIGAP'!J19+'LISTADO SIGAP'!J20+'LISTADO SIGAP'!J21+'LISTADO SIGAP'!J22+'LISTADO SIGAP'!J24+'LISTADO SIGAP'!J27+'LISTADO SIGAP'!J29+'LISTADO SIGAP'!J30+'LISTADO SIGAP'!J31+'LISTADO SIGAP'!J32+'LISTADO SIGAP'!J33+'LISTADO SIGAP'!J34+'LISTADO SIGAP'!J35+'LISTADO SIGAP'!J36+'LISTADO SIGAP'!J37+'LISTADO SIGAP'!J38+'LISTADO SIGAP'!J39+'LISTADO SIGAP'!J40+'LISTADO SIGAP'!J41+'LISTADO SIGAP'!J42+'LISTADO SIGAP'!J43+'LISTADO SIGAP'!J44+'LISTADO SIGAP'!J45+'LISTADO SIGAP'!J46+'LISTADO SIGAP'!J47+'LISTADO SIGAP'!J48+'LISTADO SIGAP'!J49+'LISTADO SIGAP'!J50+'LISTADO SIGAP'!J52+'LISTADO SIGAP'!J53+'LISTADO SIGAP'!J54+'LISTADO SIGAP'!J55+'LISTADO SIGAP'!J56+'LISTADO SIGAP'!J57+'LISTADO SIGAP'!J58+'LISTADO SIGAP'!J59+'LISTADO SIGAP'!J60+'LISTADO SIGAP'!J61+'LISTADO SIGAP'!J62+'LISTADO SIGAP'!J64+'LISTADO SIGAP'!J65+'LISTADO SIGAP'!J85+'LISTADO SIGAP'!J90+'LISTADO SIGAP'!J96+'LISTADO SIGAP'!J146+'LISTADO SIGAP'!J147+'LISTADO SIGAP'!J148+'LISTADO SIGAP'!J316+'LISTADO SIGAP'!J330</f>
        <v>2970007.9389999998</v>
      </c>
      <c r="G32" s="588" t="e">
        <f>F32*100/F39</f>
        <v>#REF!</v>
      </c>
      <c r="H32" t="s">
        <v>2075</v>
      </c>
    </row>
    <row r="33" spans="4:8">
      <c r="D33" s="589" t="s">
        <v>2076</v>
      </c>
      <c r="E33" s="565">
        <v>6</v>
      </c>
      <c r="F33" s="590">
        <f>'LISTADO SIGAP'!J5+'LISTADO SIGAP'!J28+'LISTADO SIGAP'!J72+'LISTADO SIGAP'!J77+'LISTADO SIGAP'!J80+'LISTADO SIGAP'!J93</f>
        <v>311232.82</v>
      </c>
      <c r="G33" s="591" t="e">
        <f>F33*100/F39</f>
        <v>#REF!</v>
      </c>
      <c r="H33" s="592" t="s">
        <v>2077</v>
      </c>
    </row>
    <row r="34" spans="4:8">
      <c r="D34" s="593" t="s">
        <v>2066</v>
      </c>
      <c r="E34" s="566">
        <v>7</v>
      </c>
      <c r="F34" s="594">
        <f>'LISTADO SIGAP'!J4+'LISTADO SIGAP'!J7+'LISTADO SIGAP'!J9+'LISTADO SIGAP'!J10+'LISTADO SIGAP'!J66+'LISTADO SIGAP'!J67+'LISTADO SIGAP'!J71</f>
        <v>10048.291999999999</v>
      </c>
      <c r="G34" s="595" t="e">
        <f>F34*100/F39</f>
        <v>#REF!</v>
      </c>
      <c r="H34" t="s">
        <v>2078</v>
      </c>
    </row>
    <row r="35" spans="4:8">
      <c r="D35" s="596" t="s">
        <v>2079</v>
      </c>
      <c r="E35" s="567">
        <v>4</v>
      </c>
      <c r="F35" s="597">
        <f>'LISTADO SIGAP'!J16+'LISTADO SIGAP'!J17+'LISTADO SIGAP'!J18+'LISTADO SIGAP'!J70</f>
        <v>86763.849999999991</v>
      </c>
      <c r="G35" s="598" t="e">
        <f>F35*100/F39</f>
        <v>#REF!</v>
      </c>
      <c r="H35" t="s">
        <v>2080</v>
      </c>
    </row>
    <row r="36" spans="4:8">
      <c r="D36" s="599" t="s">
        <v>2081</v>
      </c>
      <c r="E36" s="568">
        <v>186</v>
      </c>
      <c r="F36" s="600" t="e">
        <f>'LISTADO SIGAP'!J73+'LISTADO SIGAP'!J74+'LISTADO SIGAP'!J76+'LISTADO SIGAP'!J78+'LISTADO SIGAP'!J79+'LISTADO SIGAP'!J86+'LISTADO SIGAP'!J87+'LISTADO SIGAP'!J89+'LISTADO SIGAP'!J91+'LISTADO SIGAP'!J94+'LISTADO SIGAP'!J98+'LISTADO SIGAP'!J99+'LISTADO SIGAP'!J100+'LISTADO SIGAP'!J101+'LISTADO SIGAP'!J102+'LISTADO SIGAP'!J104+'LISTADO SIGAP'!J105+'LISTADO SIGAP'!J107+'LISTADO SIGAP'!J108+'LISTADO SIGAP'!J110+'LISTADO SIGAP'!J114+'LISTADO SIGAP'!J115+'LISTADO SIGAP'!J117+'LISTADO SIGAP'!J118+'LISTADO SIGAP'!J119+'LISTADO SIGAP'!J121+'LISTADO SIGAP'!J123+'LISTADO SIGAP'!J124+'LISTADO SIGAP'!J125+'LISTADO SIGAP'!J126+'LISTADO SIGAP'!J127+'LISTADO SIGAP'!J129+'LISTADO SIGAP'!J130+'LISTADO SIGAP'!J131+'LISTADO SIGAP'!J132+'LISTADO SIGAP'!J134+'LISTADO SIGAP'!J136+'LISTADO SIGAP'!J137+'LISTADO SIGAP'!J140+'LISTADO SIGAP'!J141+'LISTADO SIGAP'!J142+'LISTADO SIGAP'!J145+'LISTADO SIGAP'!J153+'LISTADO SIGAP'!J154+'LISTADO SIGAP'!J155+'LISTADO SIGAP'!J156+'LISTADO SIGAP'!J162+'LISTADO SIGAP'!J163+'LISTADO SIGAP'!J164+'LISTADO SIGAP'!J165+'LISTADO SIGAP'!J170+'LISTADO SIGAP'!J172+'LISTADO SIGAP'!J174+'LISTADO SIGAP'!J185+'LISTADO SIGAP'!J186+'LISTADO SIGAP'!J187+'LISTADO SIGAP'!J192+'LISTADO SIGAP'!J195+'LISTADO SIGAP'!J196+'LISTADO SIGAP'!J197+'LISTADO SIGAP'!J198+'LISTADO SIGAP'!J200+'LISTADO SIGAP'!J207+'LISTADO SIGAP'!J208+'LISTADO SIGAP'!#REF!+'LISTADO SIGAP'!J213+'LISTADO SIGAP'!J214+'LISTADO SIGAP'!J215+'LISTADO SIGAP'!J218+'LISTADO SIGAP'!J219+'LISTADO SIGAP'!J223+'LISTADO SIGAP'!J224+'LISTADO SIGAP'!J225+'LISTADO SIGAP'!J227+'LISTADO SIGAP'!J228+'LISTADO SIGAP'!J229+'LISTADO SIGAP'!J236+'LISTADO SIGAP'!J237+'LISTADO SIGAP'!J238+'LISTADO SIGAP'!J239+'LISTADO SIGAP'!J240+'LISTADO SIGAP'!J242+'LISTADO SIGAP'!J244+'LISTADO SIGAP'!J254+'LISTADO SIGAP'!J259+'LISTADO SIGAP'!J260+'LISTADO SIGAP'!J261+'LISTADO SIGAP'!J272+'LISTADO SIGAP'!J275+'LISTADO SIGAP'!J277+'LISTADO SIGAP'!J280+'LISTADO SIGAP'!J282+'LISTADO SIGAP'!J284+'LISTADO SIGAP'!J287+'LISTADO SIGAP'!J289+'LISTADO SIGAP'!J292+'LISTADO SIGAP'!J293+'LISTADO SIGAP'!J296+'LISTADO SIGAP'!J297+'LISTADO SIGAP'!J298+'LISTADO SIGAP'!J299+'LISTADO SIGAP'!J300+'LISTADO SIGAP'!J305+'LISTADO SIGAP'!J307+'LISTADO SIGAP'!J308+'LISTADO SIGAP'!J309+'LISTADO SIGAP'!J311+'LISTADO SIGAP'!J312+'LISTADO SIGAP'!J313+'LISTADO SIGAP'!J314+'LISTADO SIGAP'!J315+'LISTADO SIGAP'!J317+'LISTADO SIGAP'!J318+'LISTADO SIGAP'!J321+'LISTADO SIGAP'!J324+'LISTADO SIGAP'!J326+'LISTADO SIGAP'!J327+'LISTADO SIGAP'!J328+'LISTADO SIGAP'!J333+'LISTADO SIGAP'!J340</f>
        <v>#REF!</v>
      </c>
      <c r="G36" s="601" t="e">
        <f>F36*100/F39</f>
        <v>#REF!</v>
      </c>
    </row>
    <row r="37" spans="4:8">
      <c r="D37" s="602" t="s">
        <v>2082</v>
      </c>
      <c r="E37" s="569">
        <v>7</v>
      </c>
      <c r="F37" s="603">
        <f>'LISTADO SIGAP'!J3+'LISTADO SIGAP'!J26+'LISTADO SIGAP'!J63+'LISTADO SIGAP'!J68+'LISTADO SIGAP'!J69+'LISTADO SIGAP'!J51+'LISTADO SIGAP'!J81</f>
        <v>15554.991183</v>
      </c>
      <c r="G37" s="604" t="e">
        <f>F37*100/F39</f>
        <v>#REF!</v>
      </c>
      <c r="H37" s="605" t="s">
        <v>2083</v>
      </c>
    </row>
    <row r="38" spans="4:8">
      <c r="D38" s="606" t="s">
        <v>2084</v>
      </c>
      <c r="E38" s="571">
        <v>82</v>
      </c>
      <c r="F38" s="607">
        <f>'LISTADO SIGAP'!J23+'LISTADO SIGAP'!J25+'LISTADO SIGAP'!J83+'LISTADO SIGAP'!J84+'LISTADO SIGAP'!J88+'LISTADO SIGAP'!J92+'LISTADO SIGAP'!J97+'LISTADO SIGAP'!J109+'LISTADO SIGAP'!J138+'LISTADO SIGAP'!J139+'LISTADO SIGAP'!J143+'LISTADO SIGAP'!J144+'LISTADO SIGAP'!J149+'LISTADO SIGAP'!J150+'LISTADO SIGAP'!J151+'LISTADO SIGAP'!J152+'LISTADO SIGAP'!J166+'LISTADO SIGAP'!J167+'LISTADO SIGAP'!J173+'LISTADO SIGAP'!J199+'LISTADO SIGAP'!J201+'LISTADO SIGAP'!J203+'LISTADO SIGAP'!J204+'LISTADO SIGAP'!J205+'LISTADO SIGAP'!J206+'LISTADO SIGAP'!J209+'LISTADO SIGAP'!J210+'LISTADO SIGAP'!J212+'LISTADO SIGAP'!J216+'LISTADO SIGAP'!J217+'LISTADO SIGAP'!J220+'LISTADO SIGAP'!J221+'LISTADO SIGAP'!J222+'LISTADO SIGAP'!J226+'LISTADO SIGAP'!J230+'LISTADO SIGAP'!J245+'LISTADO SIGAP'!J246+'LISTADO SIGAP'!J247+'LISTADO SIGAP'!J248+'LISTADO SIGAP'!J249+'LISTADO SIGAP'!J250+'LISTADO SIGAP'!J251+'LISTADO SIGAP'!J252+'LISTADO SIGAP'!J253+'LISTADO SIGAP'!J255+'LISTADO SIGAP'!J256+'LISTADO SIGAP'!J262+'LISTADO SIGAP'!J267+'LISTADO SIGAP'!J268+'LISTADO SIGAP'!J269+'LISTADO SIGAP'!J273+'LISTADO SIGAP'!J274+'LISTADO SIGAP'!J276+'LISTADO SIGAP'!J278+'LISTADO SIGAP'!J279+'LISTADO SIGAP'!J281+'LISTADO SIGAP'!J285+'LISTADO SIGAP'!J286+'LISTADO SIGAP'!J288+'LISTADO SIGAP'!J291+'LISTADO SIGAP'!J294+'LISTADO SIGAP'!J295+'LISTADO SIGAP'!J301+'LISTADO SIGAP'!J302+'LISTADO SIGAP'!J306+'LISTADO SIGAP'!J310+'LISTADO SIGAP'!J319+'LISTADO SIGAP'!J322+'LISTADO SIGAP'!J323+'LISTADO SIGAP'!J325+'LISTADO SIGAP'!J331+'LISTADO SIGAP'!J332+'LISTADO SIGAP'!J334+'LISTADO SIGAP'!J335+'LISTADO SIGAP'!J336+'LISTADO SIGAP'!J338+'LISTADO SIGAP'!J339</f>
        <v>44537.13885800002</v>
      </c>
      <c r="G38" s="608" t="e">
        <f>F38*100/F39</f>
        <v>#REF!</v>
      </c>
      <c r="H38" s="592" t="s">
        <v>2085</v>
      </c>
    </row>
    <row r="39" spans="4:8">
      <c r="D39" s="609" t="s">
        <v>1807</v>
      </c>
      <c r="E39" s="572">
        <f>SUM(E32:E38)</f>
        <v>348</v>
      </c>
      <c r="F39" s="610" t="e">
        <f>SUM(F32:F38)</f>
        <v>#REF!</v>
      </c>
      <c r="G39" s="611">
        <v>100</v>
      </c>
    </row>
  </sheetData>
  <printOptions horizontalCentered="1" verticalCentered="1"/>
  <pageMargins left="0.51180555555555596" right="0.51180555555555596" top="0.55000000000000004" bottom="0.55000000000000004" header="0.31388888888888899" footer="0.31388888888888899"/>
  <pageSetup scale="90" orientation="landscape"/>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4"/>
  <sheetViews>
    <sheetView topLeftCell="A24" zoomScale="80" zoomScaleNormal="80" workbookViewId="0">
      <selection activeCell="F26" sqref="F26"/>
    </sheetView>
  </sheetViews>
  <sheetFormatPr baseColWidth="10" defaultColWidth="9" defaultRowHeight="15"/>
  <cols>
    <col min="1" max="1" width="10" customWidth="1"/>
    <col min="2" max="2" width="18.140625" customWidth="1"/>
    <col min="3" max="3" width="13.28515625" customWidth="1"/>
    <col min="4" max="4" width="9.7109375" customWidth="1"/>
    <col min="5" max="5" width="18" customWidth="1"/>
    <col min="6" max="6" width="20.140625" customWidth="1"/>
    <col min="7" max="7" width="20.7109375" customWidth="1"/>
    <col min="8" max="8" width="23" customWidth="1"/>
    <col min="9" max="9" width="25.7109375" customWidth="1"/>
    <col min="10" max="10" width="15.7109375" customWidth="1"/>
    <col min="11" max="11" width="15" customWidth="1"/>
    <col min="12" max="12" width="28.140625" customWidth="1"/>
    <col min="13" max="13" width="24.140625" customWidth="1"/>
    <col min="14" max="14" width="17.7109375" style="489" customWidth="1"/>
    <col min="15" max="15" width="17.140625" customWidth="1"/>
  </cols>
  <sheetData>
    <row r="1" spans="1:15" ht="18.75">
      <c r="B1" s="490" t="s">
        <v>2086</v>
      </c>
      <c r="C1" s="490"/>
      <c r="D1" s="490"/>
      <c r="E1" s="490"/>
      <c r="F1" s="490"/>
      <c r="G1" s="490"/>
      <c r="H1" s="490"/>
      <c r="I1" s="490"/>
    </row>
    <row r="2" spans="1:15" ht="18.75">
      <c r="B2" s="491"/>
      <c r="C2" s="490" t="s">
        <v>2087</v>
      </c>
      <c r="D2" s="490"/>
      <c r="E2" s="490"/>
      <c r="F2" s="490"/>
      <c r="G2" s="490"/>
      <c r="H2" s="490"/>
      <c r="I2" s="490"/>
    </row>
    <row r="3" spans="1:15" ht="18.75">
      <c r="B3" s="492"/>
      <c r="C3" s="490" t="s">
        <v>2088</v>
      </c>
      <c r="D3" s="490"/>
      <c r="E3" s="490"/>
      <c r="F3" s="490"/>
      <c r="G3" s="490"/>
      <c r="H3" s="490"/>
      <c r="I3" s="490"/>
    </row>
    <row r="4" spans="1:15" ht="18.75">
      <c r="B4" s="493"/>
      <c r="C4" s="490" t="s">
        <v>2089</v>
      </c>
      <c r="D4" s="490"/>
      <c r="E4" s="490"/>
      <c r="F4" s="490"/>
      <c r="G4" s="490"/>
      <c r="H4" s="490"/>
      <c r="I4" s="490"/>
    </row>
    <row r="5" spans="1:15" ht="18.75">
      <c r="B5" s="494"/>
      <c r="C5" s="490" t="s">
        <v>2090</v>
      </c>
      <c r="D5" s="490"/>
      <c r="E5" s="490"/>
      <c r="F5" s="490"/>
      <c r="G5" s="490"/>
      <c r="H5" s="490"/>
      <c r="I5" s="490"/>
    </row>
    <row r="6" spans="1:15" ht="18.75">
      <c r="B6" s="495"/>
      <c r="C6" s="490" t="s">
        <v>2091</v>
      </c>
      <c r="D6" s="490"/>
      <c r="E6" s="490"/>
      <c r="F6" s="490"/>
      <c r="G6" s="490"/>
      <c r="H6" s="490"/>
      <c r="I6" s="490"/>
    </row>
    <row r="7" spans="1:15" ht="18.75">
      <c r="B7" s="496"/>
      <c r="C7" s="490" t="s">
        <v>2092</v>
      </c>
      <c r="D7" s="490"/>
      <c r="E7" s="490"/>
      <c r="F7" s="490"/>
      <c r="G7" s="490"/>
      <c r="H7" s="490"/>
      <c r="I7" s="490"/>
    </row>
    <row r="8" spans="1:15" ht="18.75">
      <c r="B8" s="497"/>
      <c r="C8" s="490" t="s">
        <v>931</v>
      </c>
      <c r="D8" s="490"/>
      <c r="E8" s="490"/>
      <c r="F8" s="490"/>
      <c r="G8" s="490"/>
      <c r="H8" s="490"/>
      <c r="I8" s="490"/>
    </row>
    <row r="9" spans="1:15" ht="18.75">
      <c r="B9" s="498"/>
      <c r="C9" s="490" t="s">
        <v>1694</v>
      </c>
      <c r="D9" s="490"/>
      <c r="E9" s="490"/>
      <c r="F9" s="490"/>
      <c r="G9" s="490"/>
      <c r="H9" s="490"/>
      <c r="I9" s="490"/>
    </row>
    <row r="10" spans="1:15" s="488" customFormat="1">
      <c r="N10" s="528"/>
    </row>
    <row r="11" spans="1:15" ht="33.75">
      <c r="A11" s="1177" t="s">
        <v>2093</v>
      </c>
      <c r="B11" s="1177"/>
      <c r="C11" s="1177"/>
      <c r="D11" s="1177"/>
      <c r="E11" s="1177"/>
      <c r="F11" s="1177"/>
      <c r="G11" s="1177"/>
      <c r="H11" s="1177"/>
      <c r="I11" s="1177"/>
      <c r="J11" s="1177"/>
      <c r="K11" s="1177"/>
    </row>
    <row r="12" spans="1:15" ht="9.75" customHeight="1"/>
    <row r="13" spans="1:15" ht="63" customHeight="1">
      <c r="A13" s="499" t="s">
        <v>2094</v>
      </c>
      <c r="B13" s="500" t="s">
        <v>2095</v>
      </c>
      <c r="C13" s="500" t="s">
        <v>2096</v>
      </c>
      <c r="D13" s="209" t="s">
        <v>2020</v>
      </c>
      <c r="E13" s="209" t="s">
        <v>2097</v>
      </c>
      <c r="F13" s="501" t="s">
        <v>2098</v>
      </c>
      <c r="G13" s="502" t="s">
        <v>2099</v>
      </c>
      <c r="H13" s="501" t="s">
        <v>2100</v>
      </c>
      <c r="I13" s="501" t="s">
        <v>2101</v>
      </c>
      <c r="J13" s="501" t="s">
        <v>2102</v>
      </c>
      <c r="K13" s="502" t="s">
        <v>2103</v>
      </c>
      <c r="L13" s="500" t="s">
        <v>2104</v>
      </c>
      <c r="M13" s="501" t="s">
        <v>2105</v>
      </c>
      <c r="N13" s="529" t="s">
        <v>2106</v>
      </c>
    </row>
    <row r="14" spans="1:15" s="488" customFormat="1" ht="208.5" customHeight="1">
      <c r="A14" s="503" t="s">
        <v>2055</v>
      </c>
      <c r="B14" s="504" t="s">
        <v>30</v>
      </c>
      <c r="C14" s="505" t="s">
        <v>58</v>
      </c>
      <c r="D14" s="450" t="s">
        <v>32</v>
      </c>
      <c r="E14" s="451" t="s">
        <v>2107</v>
      </c>
      <c r="F14" s="475" t="s">
        <v>2108</v>
      </c>
      <c r="G14" s="475" t="s">
        <v>2109</v>
      </c>
      <c r="H14" s="506"/>
      <c r="I14" s="530"/>
      <c r="J14" s="531">
        <v>36208</v>
      </c>
      <c r="K14" s="532" t="s">
        <v>2110</v>
      </c>
      <c r="L14" s="533" t="s">
        <v>2111</v>
      </c>
      <c r="M14" s="534" t="s">
        <v>2112</v>
      </c>
      <c r="N14" s="535">
        <v>1</v>
      </c>
      <c r="O14" s="536" t="s">
        <v>2113</v>
      </c>
    </row>
    <row r="15" spans="1:15" s="488" customFormat="1" ht="148.5" customHeight="1">
      <c r="A15" s="507" t="s">
        <v>2057</v>
      </c>
      <c r="B15" s="508" t="s">
        <v>2023</v>
      </c>
      <c r="C15" s="457" t="s">
        <v>551</v>
      </c>
      <c r="D15" s="93" t="s">
        <v>2114</v>
      </c>
      <c r="E15" s="93" t="s">
        <v>2115</v>
      </c>
      <c r="F15" s="509" t="s">
        <v>2116</v>
      </c>
      <c r="G15" s="510" t="s">
        <v>2117</v>
      </c>
      <c r="H15" s="506"/>
      <c r="I15" s="510" t="s">
        <v>2118</v>
      </c>
      <c r="J15" s="537">
        <v>36475</v>
      </c>
      <c r="K15" s="538" t="s">
        <v>2110</v>
      </c>
      <c r="L15" s="533" t="s">
        <v>2119</v>
      </c>
      <c r="M15" s="534" t="s">
        <v>2112</v>
      </c>
      <c r="N15" s="539">
        <v>1</v>
      </c>
      <c r="O15" s="536" t="s">
        <v>2120</v>
      </c>
    </row>
    <row r="16" spans="1:15" s="488" customFormat="1" ht="310.5" customHeight="1">
      <c r="A16" s="507" t="s">
        <v>2055</v>
      </c>
      <c r="B16" s="511" t="s">
        <v>30</v>
      </c>
      <c r="C16" s="457" t="s">
        <v>2121</v>
      </c>
      <c r="D16" s="161" t="s">
        <v>180</v>
      </c>
      <c r="E16" s="161" t="s">
        <v>2122</v>
      </c>
      <c r="F16" s="510" t="s">
        <v>2123</v>
      </c>
      <c r="G16" s="509" t="s">
        <v>2124</v>
      </c>
      <c r="H16" s="506" t="s">
        <v>2125</v>
      </c>
      <c r="I16" s="540" t="s">
        <v>2126</v>
      </c>
      <c r="J16" s="509" t="s">
        <v>2127</v>
      </c>
      <c r="K16" s="538" t="s">
        <v>2110</v>
      </c>
      <c r="L16" s="541" t="s">
        <v>2128</v>
      </c>
      <c r="M16" s="481" t="s">
        <v>2129</v>
      </c>
      <c r="N16" s="539">
        <v>1</v>
      </c>
    </row>
    <row r="17" spans="1:15" s="488" customFormat="1" ht="202.5" customHeight="1">
      <c r="A17" s="507" t="s">
        <v>2063</v>
      </c>
      <c r="B17" s="508" t="s">
        <v>227</v>
      </c>
      <c r="C17" s="457" t="s">
        <v>273</v>
      </c>
      <c r="D17" s="135" t="s">
        <v>2130</v>
      </c>
      <c r="E17" s="93" t="s">
        <v>2131</v>
      </c>
      <c r="F17" s="509" t="s">
        <v>2132</v>
      </c>
      <c r="G17" s="512" t="s">
        <v>2133</v>
      </c>
      <c r="H17" s="506" t="s">
        <v>2125</v>
      </c>
      <c r="I17" s="540" t="s">
        <v>2126</v>
      </c>
      <c r="J17" s="537">
        <v>39349</v>
      </c>
      <c r="K17" s="542" t="s">
        <v>2134</v>
      </c>
      <c r="L17" s="533" t="s">
        <v>2135</v>
      </c>
      <c r="M17" s="534" t="s">
        <v>2136</v>
      </c>
      <c r="N17" s="539">
        <v>2</v>
      </c>
      <c r="O17" s="543" t="s">
        <v>2137</v>
      </c>
    </row>
    <row r="18" spans="1:15" s="488" customFormat="1" ht="207" customHeight="1">
      <c r="A18" s="507" t="s">
        <v>2057</v>
      </c>
      <c r="B18" s="508" t="s">
        <v>2138</v>
      </c>
      <c r="C18" s="457" t="s">
        <v>2139</v>
      </c>
      <c r="D18" s="93" t="s">
        <v>2140</v>
      </c>
      <c r="E18" s="460" t="s">
        <v>2141</v>
      </c>
      <c r="F18" s="509" t="s">
        <v>2142</v>
      </c>
      <c r="G18" s="513" t="s">
        <v>2143</v>
      </c>
      <c r="H18" s="514" t="s">
        <v>2144</v>
      </c>
      <c r="I18" s="510" t="s">
        <v>2145</v>
      </c>
      <c r="J18" s="537">
        <v>37952</v>
      </c>
      <c r="K18" s="544" t="s">
        <v>2146</v>
      </c>
      <c r="L18" s="455" t="s">
        <v>2147</v>
      </c>
      <c r="M18" s="545"/>
      <c r="N18" s="539">
        <v>3</v>
      </c>
    </row>
    <row r="19" spans="1:15" s="488" customFormat="1" ht="161.25" customHeight="1">
      <c r="A19" s="507" t="s">
        <v>2057</v>
      </c>
      <c r="B19" s="508" t="s">
        <v>1652</v>
      </c>
      <c r="C19" s="515" t="s">
        <v>2148</v>
      </c>
      <c r="D19" s="161" t="s">
        <v>2149</v>
      </c>
      <c r="E19" s="161" t="s">
        <v>2150</v>
      </c>
      <c r="F19" s="510" t="s">
        <v>2151</v>
      </c>
      <c r="G19" s="516" t="s">
        <v>2152</v>
      </c>
      <c r="H19" s="514" t="s">
        <v>2153</v>
      </c>
      <c r="I19" s="510" t="s">
        <v>2154</v>
      </c>
      <c r="J19" s="537">
        <v>37965</v>
      </c>
      <c r="K19" s="544" t="s">
        <v>2155</v>
      </c>
      <c r="L19" s="455" t="s">
        <v>2156</v>
      </c>
      <c r="M19" s="545"/>
      <c r="N19" s="539">
        <v>3</v>
      </c>
    </row>
    <row r="20" spans="1:15" s="488" customFormat="1" ht="156.75" customHeight="1">
      <c r="A20" s="507" t="s">
        <v>2062</v>
      </c>
      <c r="B20" s="508" t="s">
        <v>2005</v>
      </c>
      <c r="C20" s="515" t="s">
        <v>2157</v>
      </c>
      <c r="D20" s="93" t="s">
        <v>2158</v>
      </c>
      <c r="E20" s="93" t="s">
        <v>2159</v>
      </c>
      <c r="F20" s="509" t="s">
        <v>2160</v>
      </c>
      <c r="G20" s="517" t="s">
        <v>2161</v>
      </c>
      <c r="H20" s="512" t="s">
        <v>2162</v>
      </c>
      <c r="I20" s="540" t="s">
        <v>2126</v>
      </c>
      <c r="J20" s="509" t="s">
        <v>2163</v>
      </c>
      <c r="K20" s="546" t="s">
        <v>2164</v>
      </c>
      <c r="L20" s="455" t="s">
        <v>2165</v>
      </c>
      <c r="M20" s="545"/>
      <c r="N20" s="539">
        <v>1</v>
      </c>
    </row>
    <row r="21" spans="1:15" s="488" customFormat="1" ht="125.25" customHeight="1">
      <c r="A21" s="518" t="s">
        <v>2055</v>
      </c>
      <c r="B21" s="519" t="s">
        <v>2166</v>
      </c>
      <c r="C21" s="520" t="s">
        <v>2167</v>
      </c>
      <c r="D21" s="466" t="s">
        <v>321</v>
      </c>
      <c r="E21" s="466" t="s">
        <v>2168</v>
      </c>
      <c r="F21" s="521" t="s">
        <v>324</v>
      </c>
      <c r="G21" s="521" t="s">
        <v>2169</v>
      </c>
      <c r="H21" s="506" t="s">
        <v>2170</v>
      </c>
      <c r="I21" s="521" t="s">
        <v>2126</v>
      </c>
      <c r="J21" s="547">
        <v>39680</v>
      </c>
      <c r="K21" s="548" t="s">
        <v>2171</v>
      </c>
      <c r="L21" s="343" t="s">
        <v>2172</v>
      </c>
      <c r="M21" s="545"/>
      <c r="N21" s="539">
        <v>1</v>
      </c>
    </row>
    <row r="22" spans="1:15" s="488" customFormat="1" ht="102" customHeight="1">
      <c r="A22" s="507" t="s">
        <v>2055</v>
      </c>
      <c r="B22" s="508" t="s">
        <v>30</v>
      </c>
      <c r="C22" s="457" t="s">
        <v>2173</v>
      </c>
      <c r="D22" s="522" t="s">
        <v>32</v>
      </c>
      <c r="E22" s="161" t="s">
        <v>2174</v>
      </c>
      <c r="F22" s="510" t="s">
        <v>2108</v>
      </c>
      <c r="G22" s="510" t="s">
        <v>2109</v>
      </c>
      <c r="H22" s="506" t="s">
        <v>2175</v>
      </c>
      <c r="I22" s="540" t="s">
        <v>2126</v>
      </c>
      <c r="J22" s="549" t="s">
        <v>2176</v>
      </c>
      <c r="K22" s="550" t="s">
        <v>2177</v>
      </c>
      <c r="L22" s="551" t="s">
        <v>2178</v>
      </c>
      <c r="M22" s="552"/>
      <c r="N22" s="539" t="s">
        <v>2178</v>
      </c>
    </row>
    <row r="23" spans="1:15" s="488" customFormat="1" ht="263.25" customHeight="1">
      <c r="A23" s="518" t="s">
        <v>2057</v>
      </c>
      <c r="B23" s="519" t="s">
        <v>126</v>
      </c>
      <c r="C23" s="520" t="s">
        <v>2179</v>
      </c>
      <c r="D23" s="466" t="s">
        <v>2140</v>
      </c>
      <c r="E23" s="466" t="s">
        <v>2180</v>
      </c>
      <c r="F23" s="521" t="s">
        <v>2181</v>
      </c>
      <c r="G23" s="521" t="s">
        <v>2182</v>
      </c>
      <c r="H23" s="523" t="s">
        <v>2183</v>
      </c>
      <c r="I23" s="553" t="s">
        <v>2184</v>
      </c>
      <c r="J23" s="554">
        <v>36486</v>
      </c>
      <c r="K23" s="555" t="s">
        <v>75</v>
      </c>
      <c r="L23" s="455" t="s">
        <v>2147</v>
      </c>
      <c r="M23" s="556"/>
      <c r="N23" s="539">
        <v>3</v>
      </c>
    </row>
    <row r="24" spans="1:15" s="488" customFormat="1" ht="198" customHeight="1">
      <c r="A24" s="507" t="s">
        <v>2056</v>
      </c>
      <c r="B24" s="508" t="s">
        <v>840</v>
      </c>
      <c r="C24" s="453" t="s">
        <v>2185</v>
      </c>
      <c r="D24" s="522" t="s">
        <v>32</v>
      </c>
      <c r="E24" s="522" t="s">
        <v>2186</v>
      </c>
      <c r="F24" s="510" t="s">
        <v>2187</v>
      </c>
      <c r="G24" s="513" t="s">
        <v>2188</v>
      </c>
      <c r="H24" s="524"/>
      <c r="I24" s="557" t="s">
        <v>2189</v>
      </c>
      <c r="J24" s="537">
        <v>36969</v>
      </c>
      <c r="K24" s="550" t="s">
        <v>75</v>
      </c>
      <c r="L24" s="467" t="s">
        <v>2190</v>
      </c>
      <c r="M24" s="481" t="s">
        <v>2191</v>
      </c>
      <c r="N24" s="539" t="s">
        <v>2178</v>
      </c>
    </row>
    <row r="25" spans="1:15" s="488" customFormat="1" ht="74.25" customHeight="1">
      <c r="A25" s="507" t="s">
        <v>2192</v>
      </c>
      <c r="B25" s="508" t="s">
        <v>2193</v>
      </c>
      <c r="C25" s="457" t="s">
        <v>2194</v>
      </c>
      <c r="D25" s="161" t="s">
        <v>2149</v>
      </c>
      <c r="E25" s="161" t="s">
        <v>2195</v>
      </c>
      <c r="F25" s="524"/>
      <c r="G25" s="524"/>
      <c r="H25" s="524"/>
      <c r="I25" s="524"/>
      <c r="J25" s="537">
        <v>38000</v>
      </c>
      <c r="K25" s="550" t="s">
        <v>75</v>
      </c>
      <c r="L25" s="453" t="s">
        <v>2196</v>
      </c>
      <c r="M25" s="556"/>
      <c r="N25" s="539" t="s">
        <v>2178</v>
      </c>
    </row>
    <row r="26" spans="1:15" s="488" customFormat="1" ht="194.25" customHeight="1">
      <c r="A26" s="518" t="s">
        <v>2060</v>
      </c>
      <c r="B26" s="519" t="s">
        <v>496</v>
      </c>
      <c r="C26" s="525" t="s">
        <v>502</v>
      </c>
      <c r="D26" s="526" t="s">
        <v>2130</v>
      </c>
      <c r="E26" s="466" t="s">
        <v>2197</v>
      </c>
      <c r="F26" s="521" t="s">
        <v>2198</v>
      </c>
      <c r="G26" s="521" t="s">
        <v>504</v>
      </c>
      <c r="H26" s="527" t="s">
        <v>2126</v>
      </c>
      <c r="I26" s="521" t="s">
        <v>2126</v>
      </c>
      <c r="J26" s="554">
        <v>39398</v>
      </c>
      <c r="K26" s="558" t="s">
        <v>2110</v>
      </c>
      <c r="L26" s="533" t="s">
        <v>2135</v>
      </c>
      <c r="M26" s="534" t="s">
        <v>2199</v>
      </c>
      <c r="N26" s="559">
        <v>2</v>
      </c>
    </row>
    <row r="27" spans="1:15">
      <c r="A27" s="120"/>
      <c r="F27" s="143"/>
      <c r="G27" s="144"/>
      <c r="H27" s="444"/>
      <c r="I27" s="120"/>
      <c r="J27" s="470"/>
      <c r="K27" s="471"/>
    </row>
    <row r="28" spans="1:15">
      <c r="A28" s="120"/>
      <c r="F28" s="143"/>
      <c r="G28" s="144"/>
      <c r="H28" s="444"/>
      <c r="I28" s="120"/>
      <c r="J28" s="470"/>
      <c r="K28" s="471"/>
    </row>
    <row r="29" spans="1:15">
      <c r="A29" s="120"/>
      <c r="F29" s="143"/>
      <c r="G29" s="144"/>
      <c r="H29" s="444"/>
      <c r="I29" s="120"/>
      <c r="J29" s="470"/>
      <c r="K29" s="471"/>
    </row>
    <row r="30" spans="1:15">
      <c r="A30" s="120"/>
      <c r="F30" s="143"/>
      <c r="G30" s="144"/>
      <c r="H30" s="444"/>
      <c r="I30" s="120"/>
      <c r="J30" s="470"/>
      <c r="K30" s="471"/>
    </row>
    <row r="31" spans="1:15" ht="258" customHeight="1">
      <c r="J31" s="487"/>
      <c r="K31" s="487"/>
    </row>
    <row r="32" spans="1:15" ht="102.75" customHeight="1"/>
    <row r="33" ht="66" customHeight="1"/>
    <row r="34" ht="75" customHeight="1"/>
  </sheetData>
  <mergeCells count="1">
    <mergeCell ref="A11:K11"/>
  </mergeCells>
  <printOptions horizontalCentered="1" verticalCentered="1"/>
  <pageMargins left="1.2979166666666699" right="0.51180555555555596" top="0.55000000000000004" bottom="0.55000000000000004" header="0.31388888888888899" footer="0.31388888888888899"/>
  <pageSetup scale="45" orientation="landscape"/>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2"/>
  <sheetViews>
    <sheetView topLeftCell="A13" zoomScale="70" zoomScaleNormal="70" workbookViewId="0">
      <selection activeCell="C17" sqref="C17"/>
    </sheetView>
  </sheetViews>
  <sheetFormatPr baseColWidth="10" defaultColWidth="9" defaultRowHeight="23.25"/>
  <cols>
    <col min="1" max="1" width="10" customWidth="1"/>
    <col min="2" max="2" width="16.42578125" customWidth="1"/>
    <col min="3" max="3" width="12.28515625" customWidth="1"/>
    <col min="4" max="4" width="12.7109375" customWidth="1"/>
    <col min="5" max="5" width="15.5703125" customWidth="1"/>
    <col min="6" max="6" width="17.5703125" customWidth="1"/>
    <col min="7" max="7" width="20.7109375" customWidth="1"/>
    <col min="8" max="8" width="26.28515625" customWidth="1"/>
    <col min="9" max="9" width="25.7109375" customWidth="1"/>
    <col min="10" max="10" width="18.42578125" customWidth="1"/>
    <col min="11" max="11" width="17.28515625" customWidth="1"/>
    <col min="12" max="12" width="21" style="440" customWidth="1"/>
    <col min="13" max="13" width="20.7109375" customWidth="1"/>
  </cols>
  <sheetData>
    <row r="1" spans="1:12">
      <c r="B1" s="372" t="s">
        <v>2086</v>
      </c>
    </row>
    <row r="2" spans="1:12">
      <c r="B2" s="441"/>
      <c r="C2" t="s">
        <v>2200</v>
      </c>
    </row>
    <row r="3" spans="1:12">
      <c r="B3" s="442"/>
      <c r="C3" t="s">
        <v>931</v>
      </c>
    </row>
    <row r="4" spans="1:12">
      <c r="B4" s="443"/>
      <c r="C4" t="s">
        <v>1694</v>
      </c>
    </row>
    <row r="5" spans="1:12">
      <c r="A5" s="120"/>
      <c r="F5" s="143"/>
      <c r="G5" s="144"/>
      <c r="H5" s="444"/>
      <c r="I5" s="120"/>
      <c r="J5" s="470"/>
      <c r="K5" s="471"/>
    </row>
    <row r="6" spans="1:12" ht="33.75">
      <c r="A6" s="120"/>
      <c r="E6" s="1178" t="s">
        <v>2201</v>
      </c>
      <c r="F6" s="1179"/>
      <c r="G6" s="1179"/>
      <c r="H6" s="1180"/>
      <c r="I6" s="120"/>
      <c r="J6" s="470"/>
      <c r="K6" s="471"/>
    </row>
    <row r="8" spans="1:12" ht="60">
      <c r="A8" s="445" t="s">
        <v>2094</v>
      </c>
      <c r="B8" s="446" t="s">
        <v>2095</v>
      </c>
      <c r="C8" s="446" t="s">
        <v>2096</v>
      </c>
      <c r="D8" s="447" t="s">
        <v>2020</v>
      </c>
      <c r="E8" s="447" t="s">
        <v>2097</v>
      </c>
      <c r="F8" s="446" t="s">
        <v>2098</v>
      </c>
      <c r="G8" s="447" t="s">
        <v>2099</v>
      </c>
      <c r="H8" s="446" t="s">
        <v>2100</v>
      </c>
      <c r="I8" s="447" t="s">
        <v>2202</v>
      </c>
      <c r="J8" s="446" t="s">
        <v>2203</v>
      </c>
      <c r="K8" s="472" t="s">
        <v>2105</v>
      </c>
      <c r="L8" s="473" t="s">
        <v>2204</v>
      </c>
    </row>
    <row r="9" spans="1:12" ht="165">
      <c r="A9" s="124" t="s">
        <v>2055</v>
      </c>
      <c r="B9" s="448" t="s">
        <v>30</v>
      </c>
      <c r="C9" s="449" t="s">
        <v>200</v>
      </c>
      <c r="D9" s="450" t="s">
        <v>2205</v>
      </c>
      <c r="E9" s="451" t="s">
        <v>2206</v>
      </c>
      <c r="F9" s="452" t="s">
        <v>2207</v>
      </c>
      <c r="G9" s="452" t="s">
        <v>2208</v>
      </c>
      <c r="H9" s="448" t="s">
        <v>2126</v>
      </c>
      <c r="I9" s="452"/>
      <c r="J9" s="474" t="s">
        <v>2209</v>
      </c>
      <c r="K9" s="475" t="s">
        <v>2210</v>
      </c>
      <c r="L9" s="476">
        <v>2</v>
      </c>
    </row>
    <row r="10" spans="1:12" ht="180">
      <c r="A10" s="127" t="s">
        <v>2057</v>
      </c>
      <c r="B10" s="93" t="s">
        <v>126</v>
      </c>
      <c r="C10" s="453" t="s">
        <v>2211</v>
      </c>
      <c r="D10" s="161" t="s">
        <v>2140</v>
      </c>
      <c r="E10" s="454"/>
      <c r="F10" s="93" t="s">
        <v>2212</v>
      </c>
      <c r="G10" s="455" t="s">
        <v>2213</v>
      </c>
      <c r="H10" s="159" t="s">
        <v>2126</v>
      </c>
      <c r="I10" s="464" t="s">
        <v>2214</v>
      </c>
      <c r="J10" s="477" t="s">
        <v>2215</v>
      </c>
      <c r="K10" s="475" t="s">
        <v>2216</v>
      </c>
      <c r="L10" s="478" t="s">
        <v>2217</v>
      </c>
    </row>
    <row r="11" spans="1:12" ht="150">
      <c r="A11" s="127" t="s">
        <v>2062</v>
      </c>
      <c r="B11" s="93" t="s">
        <v>2022</v>
      </c>
      <c r="C11" s="453" t="s">
        <v>2218</v>
      </c>
      <c r="D11" s="161" t="s">
        <v>2219</v>
      </c>
      <c r="E11" s="456"/>
      <c r="F11" s="93" t="s">
        <v>2220</v>
      </c>
      <c r="G11" s="457" t="s">
        <v>2221</v>
      </c>
      <c r="H11" s="159" t="s">
        <v>2126</v>
      </c>
      <c r="I11" s="464" t="s">
        <v>2222</v>
      </c>
      <c r="J11" s="474" t="s">
        <v>2209</v>
      </c>
      <c r="K11" s="479"/>
      <c r="L11" s="478" t="s">
        <v>2178</v>
      </c>
    </row>
    <row r="12" spans="1:12" ht="244.5" customHeight="1">
      <c r="A12" s="127" t="s">
        <v>2057</v>
      </c>
      <c r="B12" s="93" t="s">
        <v>474</v>
      </c>
      <c r="C12" s="453" t="s">
        <v>473</v>
      </c>
      <c r="D12" s="161" t="s">
        <v>2140</v>
      </c>
      <c r="E12" s="458" t="s">
        <v>2223</v>
      </c>
      <c r="F12" s="161" t="s">
        <v>2224</v>
      </c>
      <c r="G12" s="93" t="s">
        <v>2182</v>
      </c>
      <c r="H12" s="459" t="s">
        <v>2225</v>
      </c>
      <c r="I12" s="161" t="s">
        <v>2226</v>
      </c>
      <c r="J12" s="455" t="s">
        <v>2147</v>
      </c>
      <c r="K12" s="480" t="s">
        <v>2227</v>
      </c>
      <c r="L12" s="478">
        <v>2</v>
      </c>
    </row>
    <row r="13" spans="1:12" ht="210">
      <c r="A13" s="127" t="s">
        <v>2057</v>
      </c>
      <c r="B13" s="93" t="s">
        <v>1587</v>
      </c>
      <c r="C13" s="453" t="s">
        <v>1586</v>
      </c>
      <c r="D13" s="161" t="s">
        <v>2140</v>
      </c>
      <c r="E13" s="460"/>
      <c r="F13" s="93" t="s">
        <v>2228</v>
      </c>
      <c r="G13" s="93" t="s">
        <v>2229</v>
      </c>
      <c r="H13" s="461" t="s">
        <v>2230</v>
      </c>
      <c r="I13" s="464" t="s">
        <v>2231</v>
      </c>
      <c r="J13" s="455" t="s">
        <v>2156</v>
      </c>
      <c r="K13" s="481" t="s">
        <v>2232</v>
      </c>
      <c r="L13" s="478">
        <v>1</v>
      </c>
    </row>
    <row r="14" spans="1:12" ht="105">
      <c r="A14" s="124" t="s">
        <v>2055</v>
      </c>
      <c r="B14" s="448" t="s">
        <v>30</v>
      </c>
      <c r="C14" s="449" t="s">
        <v>2233</v>
      </c>
      <c r="D14" s="452" t="s">
        <v>321</v>
      </c>
      <c r="E14" s="452" t="s">
        <v>2234</v>
      </c>
      <c r="F14" s="462" t="s">
        <v>2235</v>
      </c>
      <c r="G14" s="452" t="s">
        <v>2236</v>
      </c>
      <c r="H14" s="463"/>
      <c r="I14" s="452"/>
      <c r="J14" s="452"/>
      <c r="K14" s="482"/>
      <c r="L14" s="478" t="s">
        <v>2178</v>
      </c>
    </row>
    <row r="15" spans="1:12" ht="165">
      <c r="A15" s="127" t="s">
        <v>2055</v>
      </c>
      <c r="B15" s="93" t="s">
        <v>30</v>
      </c>
      <c r="C15" s="453" t="s">
        <v>187</v>
      </c>
      <c r="D15" s="161" t="s">
        <v>2149</v>
      </c>
      <c r="E15" s="161"/>
      <c r="F15" s="161" t="s">
        <v>2207</v>
      </c>
      <c r="G15" s="161" t="s">
        <v>2208</v>
      </c>
      <c r="H15" s="464" t="s">
        <v>2237</v>
      </c>
      <c r="I15" s="161"/>
      <c r="J15" s="161" t="s">
        <v>37</v>
      </c>
      <c r="K15" s="483"/>
      <c r="L15" s="478">
        <v>3</v>
      </c>
    </row>
    <row r="16" spans="1:12" ht="182.25" customHeight="1">
      <c r="A16" s="127" t="s">
        <v>2055</v>
      </c>
      <c r="B16" s="93" t="s">
        <v>30</v>
      </c>
      <c r="C16" s="465" t="s">
        <v>2238</v>
      </c>
      <c r="D16" s="161" t="s">
        <v>180</v>
      </c>
      <c r="E16" s="161" t="s">
        <v>2239</v>
      </c>
      <c r="F16" s="161" t="s">
        <v>2240</v>
      </c>
      <c r="G16" s="161" t="s">
        <v>2241</v>
      </c>
      <c r="H16" s="464" t="s">
        <v>2237</v>
      </c>
      <c r="I16" s="161"/>
      <c r="J16" s="161" t="s">
        <v>37</v>
      </c>
      <c r="K16" s="483"/>
      <c r="L16" s="478">
        <v>3</v>
      </c>
    </row>
    <row r="17" spans="1:12" ht="291" customHeight="1">
      <c r="A17" s="130" t="s">
        <v>2056</v>
      </c>
      <c r="B17" s="466" t="s">
        <v>840</v>
      </c>
      <c r="C17" s="467" t="s">
        <v>2242</v>
      </c>
      <c r="D17" s="468" t="s">
        <v>180</v>
      </c>
      <c r="E17" s="468"/>
      <c r="F17" s="468" t="s">
        <v>2243</v>
      </c>
      <c r="G17" s="468" t="s">
        <v>2244</v>
      </c>
      <c r="H17" s="469" t="s">
        <v>2245</v>
      </c>
      <c r="I17" s="468" t="s">
        <v>2246</v>
      </c>
      <c r="J17" s="484" t="s">
        <v>2147</v>
      </c>
      <c r="K17" s="485" t="s">
        <v>2247</v>
      </c>
      <c r="L17" s="486">
        <v>3</v>
      </c>
    </row>
    <row r="22" spans="1:12">
      <c r="J22" s="487"/>
      <c r="K22" s="487"/>
    </row>
  </sheetData>
  <mergeCells count="1">
    <mergeCell ref="E6:H6"/>
  </mergeCells>
  <pageMargins left="1.8888888888888899" right="0.51180555555555596" top="0.55000000000000004" bottom="0.55000000000000004" header="0.31388888888888899" footer="0.31388888888888899"/>
  <pageSetup scale="5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election activeCell="N7" sqref="N7"/>
    </sheetView>
  </sheetViews>
  <sheetFormatPr baseColWidth="10" defaultColWidth="9" defaultRowHeight="15"/>
  <sheetData/>
  <pageMargins left="0.69930555555555596" right="0.69930555555555596"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AW29"/>
  <sheetViews>
    <sheetView workbookViewId="0">
      <selection activeCell="K13" sqref="K13"/>
    </sheetView>
  </sheetViews>
  <sheetFormatPr baseColWidth="10" defaultColWidth="9" defaultRowHeight="15"/>
  <sheetData>
    <row r="3" spans="2:3" ht="45">
      <c r="B3" s="388" t="s">
        <v>2248</v>
      </c>
      <c r="C3" s="422" t="s">
        <v>2249</v>
      </c>
    </row>
    <row r="4" spans="2:3">
      <c r="B4" s="386">
        <v>2009</v>
      </c>
      <c r="C4" s="386">
        <v>430</v>
      </c>
    </row>
    <row r="5" spans="2:3">
      <c r="B5" s="386">
        <v>2010</v>
      </c>
      <c r="C5" s="386">
        <v>432</v>
      </c>
    </row>
    <row r="6" spans="2:3">
      <c r="B6" s="386">
        <v>2011</v>
      </c>
      <c r="C6" s="386">
        <v>437</v>
      </c>
    </row>
    <row r="7" spans="2:3">
      <c r="B7" s="386">
        <v>2012</v>
      </c>
      <c r="C7" s="386">
        <v>440</v>
      </c>
    </row>
    <row r="8" spans="2:3">
      <c r="B8" s="386">
        <v>2013</v>
      </c>
      <c r="C8" s="386">
        <v>421</v>
      </c>
    </row>
    <row r="9" spans="2:3">
      <c r="B9" s="386">
        <v>2014</v>
      </c>
      <c r="C9" s="386">
        <v>404</v>
      </c>
    </row>
    <row r="10" spans="2:3">
      <c r="B10" s="386">
        <v>2015</v>
      </c>
      <c r="C10" s="386">
        <v>389</v>
      </c>
    </row>
    <row r="11" spans="2:3">
      <c r="B11" s="386">
        <v>2016</v>
      </c>
      <c r="C11" s="386">
        <v>0</v>
      </c>
    </row>
    <row r="12" spans="2:3">
      <c r="B12" s="386">
        <v>2017</v>
      </c>
      <c r="C12" s="386">
        <v>523</v>
      </c>
    </row>
    <row r="19" spans="1:49" ht="204">
      <c r="A19" s="423" t="s">
        <v>2250</v>
      </c>
      <c r="B19" s="424" t="s">
        <v>2251</v>
      </c>
      <c r="C19" s="425" t="s">
        <v>2252</v>
      </c>
      <c r="D19" s="424" t="s">
        <v>2253</v>
      </c>
      <c r="E19" s="425" t="s">
        <v>2254</v>
      </c>
      <c r="F19" s="425" t="s">
        <v>2255</v>
      </c>
      <c r="G19" s="425" t="s">
        <v>2256</v>
      </c>
      <c r="H19" s="425" t="s">
        <v>2257</v>
      </c>
      <c r="I19" s="425" t="s">
        <v>2258</v>
      </c>
      <c r="J19" s="425" t="s">
        <v>2259</v>
      </c>
      <c r="K19" s="425" t="s">
        <v>2260</v>
      </c>
      <c r="L19" s="425" t="s">
        <v>2261</v>
      </c>
      <c r="M19" s="425" t="s">
        <v>2262</v>
      </c>
      <c r="N19" s="425" t="s">
        <v>2263</v>
      </c>
      <c r="O19" s="425" t="s">
        <v>2264</v>
      </c>
      <c r="P19" s="425" t="s">
        <v>2265</v>
      </c>
      <c r="Q19" s="425" t="s">
        <v>2266</v>
      </c>
      <c r="R19" s="425" t="s">
        <v>2267</v>
      </c>
      <c r="S19" s="425" t="s">
        <v>2268</v>
      </c>
      <c r="T19" s="425" t="s">
        <v>2269</v>
      </c>
      <c r="U19" s="425" t="s">
        <v>2270</v>
      </c>
      <c r="V19" s="425" t="s">
        <v>2271</v>
      </c>
      <c r="W19" s="425" t="s">
        <v>2272</v>
      </c>
      <c r="X19" s="425" t="s">
        <v>2273</v>
      </c>
      <c r="Y19" s="425" t="s">
        <v>2274</v>
      </c>
      <c r="Z19" s="425" t="s">
        <v>2275</v>
      </c>
      <c r="AA19" s="425" t="s">
        <v>1868</v>
      </c>
      <c r="AB19" s="425" t="s">
        <v>2276</v>
      </c>
      <c r="AC19" s="425" t="s">
        <v>2277</v>
      </c>
      <c r="AD19" s="425" t="s">
        <v>2278</v>
      </c>
      <c r="AE19" s="425" t="s">
        <v>2279</v>
      </c>
      <c r="AF19" s="425" t="s">
        <v>2280</v>
      </c>
      <c r="AG19" s="425" t="s">
        <v>2281</v>
      </c>
      <c r="AH19" s="425" t="s">
        <v>2282</v>
      </c>
      <c r="AI19" s="425" t="s">
        <v>2283</v>
      </c>
      <c r="AJ19" s="434" t="s">
        <v>2284</v>
      </c>
      <c r="AK19" s="434" t="s">
        <v>2285</v>
      </c>
      <c r="AL19" s="434" t="s">
        <v>2286</v>
      </c>
      <c r="AM19" s="434" t="s">
        <v>2287</v>
      </c>
      <c r="AN19" s="434" t="s">
        <v>2288</v>
      </c>
      <c r="AO19" s="434" t="s">
        <v>2289</v>
      </c>
      <c r="AP19" s="434" t="s">
        <v>2290</v>
      </c>
      <c r="AQ19" s="434" t="s">
        <v>2291</v>
      </c>
      <c r="AR19" s="434" t="s">
        <v>2292</v>
      </c>
      <c r="AS19" s="425" t="s">
        <v>2293</v>
      </c>
      <c r="AT19" s="425" t="s">
        <v>2294</v>
      </c>
      <c r="AU19" s="425" t="s">
        <v>2295</v>
      </c>
      <c r="AV19" s="425" t="s">
        <v>32</v>
      </c>
      <c r="AW19" s="437" t="s">
        <v>2296</v>
      </c>
    </row>
    <row r="20" spans="1:49">
      <c r="A20" s="426">
        <v>2009</v>
      </c>
      <c r="B20" s="427">
        <v>4</v>
      </c>
      <c r="C20" s="1181">
        <v>18</v>
      </c>
      <c r="D20" s="1182"/>
      <c r="E20" s="428">
        <v>6</v>
      </c>
      <c r="F20" s="429">
        <v>1</v>
      </c>
      <c r="G20" s="428">
        <v>9</v>
      </c>
      <c r="H20" s="429">
        <v>12</v>
      </c>
      <c r="I20" s="428">
        <v>2</v>
      </c>
      <c r="J20" s="429">
        <v>4</v>
      </c>
      <c r="K20" s="428">
        <v>1</v>
      </c>
      <c r="L20" s="429">
        <v>4</v>
      </c>
      <c r="M20" s="428">
        <v>4</v>
      </c>
      <c r="N20" s="429">
        <v>3</v>
      </c>
      <c r="O20" s="428">
        <v>15</v>
      </c>
      <c r="P20" s="429">
        <v>2</v>
      </c>
      <c r="Q20" s="428">
        <v>0</v>
      </c>
      <c r="R20" s="429">
        <v>9</v>
      </c>
      <c r="S20" s="428">
        <v>11</v>
      </c>
      <c r="T20" s="429">
        <v>3</v>
      </c>
      <c r="U20" s="428">
        <v>13</v>
      </c>
      <c r="V20" s="429">
        <v>2</v>
      </c>
      <c r="W20" s="428">
        <v>1</v>
      </c>
      <c r="X20" s="429">
        <v>1</v>
      </c>
      <c r="Y20" s="427">
        <v>2</v>
      </c>
      <c r="Z20" s="433">
        <v>1</v>
      </c>
      <c r="AA20" s="427">
        <v>9</v>
      </c>
      <c r="AB20" s="433">
        <v>1</v>
      </c>
      <c r="AC20" s="427">
        <v>4</v>
      </c>
      <c r="AD20" s="433">
        <v>1</v>
      </c>
      <c r="AE20" s="427">
        <v>1</v>
      </c>
      <c r="AF20" s="429">
        <v>2</v>
      </c>
      <c r="AG20" s="428">
        <v>7</v>
      </c>
      <c r="AH20" s="429">
        <v>0</v>
      </c>
      <c r="AI20" s="428">
        <v>2</v>
      </c>
      <c r="AJ20" s="433">
        <v>40</v>
      </c>
      <c r="AK20" s="427">
        <v>29</v>
      </c>
      <c r="AL20" s="433">
        <v>12</v>
      </c>
      <c r="AM20" s="427">
        <v>40</v>
      </c>
      <c r="AN20" s="433">
        <v>72</v>
      </c>
      <c r="AO20" s="427">
        <v>11</v>
      </c>
      <c r="AP20" s="433">
        <v>12</v>
      </c>
      <c r="AQ20" s="427">
        <v>48</v>
      </c>
      <c r="AR20" s="433">
        <v>0</v>
      </c>
      <c r="AS20" s="427">
        <v>11</v>
      </c>
      <c r="AT20" s="427">
        <v>0</v>
      </c>
      <c r="AU20" s="427">
        <v>0</v>
      </c>
      <c r="AV20" s="427">
        <v>0</v>
      </c>
      <c r="AW20" s="438">
        <v>430</v>
      </c>
    </row>
    <row r="21" spans="1:49">
      <c r="A21" s="426">
        <v>2010</v>
      </c>
      <c r="B21" s="427">
        <v>4</v>
      </c>
      <c r="C21" s="1183">
        <v>18</v>
      </c>
      <c r="D21" s="1184"/>
      <c r="E21" s="428">
        <v>6</v>
      </c>
      <c r="F21" s="429">
        <v>1</v>
      </c>
      <c r="G21" s="428">
        <v>10</v>
      </c>
      <c r="H21" s="429">
        <v>13</v>
      </c>
      <c r="I21" s="428">
        <v>2</v>
      </c>
      <c r="J21" s="429">
        <v>4</v>
      </c>
      <c r="K21" s="428">
        <v>1</v>
      </c>
      <c r="L21" s="429">
        <v>4</v>
      </c>
      <c r="M21" s="428">
        <v>4</v>
      </c>
      <c r="N21" s="429">
        <v>3</v>
      </c>
      <c r="O21" s="428">
        <v>15</v>
      </c>
      <c r="P21" s="429">
        <v>2</v>
      </c>
      <c r="Q21" s="428">
        <v>0</v>
      </c>
      <c r="R21" s="429">
        <v>11</v>
      </c>
      <c r="S21" s="428">
        <v>11</v>
      </c>
      <c r="T21" s="429">
        <v>3</v>
      </c>
      <c r="U21" s="428">
        <v>13</v>
      </c>
      <c r="V21" s="429">
        <v>2</v>
      </c>
      <c r="W21" s="428">
        <v>1</v>
      </c>
      <c r="X21" s="429">
        <v>1</v>
      </c>
      <c r="Y21" s="427">
        <v>2</v>
      </c>
      <c r="Z21" s="433">
        <v>1</v>
      </c>
      <c r="AA21" s="427">
        <v>9</v>
      </c>
      <c r="AB21" s="433">
        <v>1</v>
      </c>
      <c r="AC21" s="427">
        <v>4</v>
      </c>
      <c r="AD21" s="433">
        <v>1</v>
      </c>
      <c r="AE21" s="427">
        <v>1</v>
      </c>
      <c r="AF21" s="429">
        <v>2</v>
      </c>
      <c r="AG21" s="428">
        <v>6</v>
      </c>
      <c r="AH21" s="429">
        <v>0</v>
      </c>
      <c r="AI21" s="428">
        <v>2</v>
      </c>
      <c r="AJ21" s="433">
        <v>39</v>
      </c>
      <c r="AK21" s="427">
        <v>35</v>
      </c>
      <c r="AL21" s="433">
        <v>8</v>
      </c>
      <c r="AM21" s="427">
        <v>32</v>
      </c>
      <c r="AN21" s="433">
        <v>75</v>
      </c>
      <c r="AO21" s="427">
        <v>15</v>
      </c>
      <c r="AP21" s="433">
        <v>6</v>
      </c>
      <c r="AQ21" s="427">
        <v>64</v>
      </c>
      <c r="AR21" s="433">
        <v>0</v>
      </c>
      <c r="AS21" s="427">
        <v>0</v>
      </c>
      <c r="AT21" s="427">
        <v>0</v>
      </c>
      <c r="AU21" s="427">
        <v>0</v>
      </c>
      <c r="AV21" s="427">
        <v>0</v>
      </c>
      <c r="AW21" s="438">
        <v>432</v>
      </c>
    </row>
    <row r="22" spans="1:49">
      <c r="A22" s="426">
        <v>2011</v>
      </c>
      <c r="B22" s="427">
        <v>5</v>
      </c>
      <c r="C22" s="1183">
        <v>18</v>
      </c>
      <c r="D22" s="1184"/>
      <c r="E22" s="428">
        <v>6</v>
      </c>
      <c r="F22" s="429">
        <v>1</v>
      </c>
      <c r="G22" s="428">
        <v>10</v>
      </c>
      <c r="H22" s="429">
        <v>13</v>
      </c>
      <c r="I22" s="428">
        <v>2</v>
      </c>
      <c r="J22" s="429">
        <v>4</v>
      </c>
      <c r="K22" s="428">
        <v>1</v>
      </c>
      <c r="L22" s="429">
        <v>4</v>
      </c>
      <c r="M22" s="428">
        <v>5</v>
      </c>
      <c r="N22" s="429">
        <v>3</v>
      </c>
      <c r="O22" s="428">
        <v>16</v>
      </c>
      <c r="P22" s="429">
        <v>2</v>
      </c>
      <c r="Q22" s="428">
        <v>0</v>
      </c>
      <c r="R22" s="429">
        <v>12</v>
      </c>
      <c r="S22" s="428">
        <v>11</v>
      </c>
      <c r="T22" s="429">
        <v>3</v>
      </c>
      <c r="U22" s="428">
        <v>13</v>
      </c>
      <c r="V22" s="429">
        <v>2</v>
      </c>
      <c r="W22" s="428">
        <v>1</v>
      </c>
      <c r="X22" s="429">
        <v>1</v>
      </c>
      <c r="Y22" s="427">
        <v>2</v>
      </c>
      <c r="Z22" s="433">
        <v>1</v>
      </c>
      <c r="AA22" s="427">
        <v>9</v>
      </c>
      <c r="AB22" s="433">
        <v>1</v>
      </c>
      <c r="AC22" s="427">
        <v>4</v>
      </c>
      <c r="AD22" s="433">
        <v>1</v>
      </c>
      <c r="AE22" s="427">
        <v>1</v>
      </c>
      <c r="AF22" s="429">
        <v>2</v>
      </c>
      <c r="AG22" s="428">
        <v>7</v>
      </c>
      <c r="AH22" s="429">
        <v>0</v>
      </c>
      <c r="AI22" s="428">
        <v>2</v>
      </c>
      <c r="AJ22" s="433">
        <v>39</v>
      </c>
      <c r="AK22" s="427">
        <v>35</v>
      </c>
      <c r="AL22" s="433">
        <v>8</v>
      </c>
      <c r="AM22" s="427">
        <v>32</v>
      </c>
      <c r="AN22" s="433">
        <v>75</v>
      </c>
      <c r="AO22" s="427">
        <v>15</v>
      </c>
      <c r="AP22" s="433">
        <v>6</v>
      </c>
      <c r="AQ22" s="427">
        <v>64</v>
      </c>
      <c r="AR22" s="433">
        <v>0</v>
      </c>
      <c r="AS22" s="427">
        <v>0</v>
      </c>
      <c r="AT22" s="427">
        <v>0</v>
      </c>
      <c r="AU22" s="427">
        <v>0</v>
      </c>
      <c r="AV22" s="427">
        <v>0</v>
      </c>
      <c r="AW22" s="438">
        <v>437</v>
      </c>
    </row>
    <row r="23" spans="1:49">
      <c r="A23" s="426">
        <v>2012</v>
      </c>
      <c r="B23" s="427">
        <v>6</v>
      </c>
      <c r="C23" s="1183">
        <v>18</v>
      </c>
      <c r="D23" s="1184"/>
      <c r="E23" s="428">
        <v>6</v>
      </c>
      <c r="F23" s="429">
        <v>1</v>
      </c>
      <c r="G23" s="428">
        <v>10</v>
      </c>
      <c r="H23" s="429">
        <v>13</v>
      </c>
      <c r="I23" s="428">
        <v>2</v>
      </c>
      <c r="J23" s="429">
        <v>4</v>
      </c>
      <c r="K23" s="428">
        <v>1</v>
      </c>
      <c r="L23" s="429">
        <v>4</v>
      </c>
      <c r="M23" s="428">
        <v>5</v>
      </c>
      <c r="N23" s="429">
        <v>3</v>
      </c>
      <c r="O23" s="428">
        <v>16</v>
      </c>
      <c r="P23" s="429">
        <v>2</v>
      </c>
      <c r="Q23" s="428">
        <v>0</v>
      </c>
      <c r="R23" s="429">
        <v>12</v>
      </c>
      <c r="S23" s="428">
        <v>11</v>
      </c>
      <c r="T23" s="429">
        <v>3</v>
      </c>
      <c r="U23" s="428">
        <v>13</v>
      </c>
      <c r="V23" s="429">
        <v>2</v>
      </c>
      <c r="W23" s="428">
        <v>1</v>
      </c>
      <c r="X23" s="429">
        <v>1</v>
      </c>
      <c r="Y23" s="427">
        <v>2</v>
      </c>
      <c r="Z23" s="433">
        <v>2</v>
      </c>
      <c r="AA23" s="427">
        <v>9</v>
      </c>
      <c r="AB23" s="433">
        <v>1</v>
      </c>
      <c r="AC23" s="427">
        <v>4</v>
      </c>
      <c r="AD23" s="433">
        <v>1</v>
      </c>
      <c r="AE23" s="427">
        <v>1</v>
      </c>
      <c r="AF23" s="429">
        <v>2</v>
      </c>
      <c r="AG23" s="428">
        <v>7</v>
      </c>
      <c r="AH23" s="429">
        <v>0</v>
      </c>
      <c r="AI23" s="428">
        <v>2</v>
      </c>
      <c r="AJ23" s="433">
        <v>47</v>
      </c>
      <c r="AK23" s="427">
        <v>34</v>
      </c>
      <c r="AL23" s="433">
        <v>11</v>
      </c>
      <c r="AM23" s="427">
        <v>36</v>
      </c>
      <c r="AN23" s="433">
        <v>64</v>
      </c>
      <c r="AO23" s="427">
        <v>17</v>
      </c>
      <c r="AP23" s="433">
        <v>20</v>
      </c>
      <c r="AQ23" s="427">
        <v>45</v>
      </c>
      <c r="AR23" s="433">
        <v>0</v>
      </c>
      <c r="AS23" s="427">
        <v>1</v>
      </c>
      <c r="AT23" s="427">
        <v>0</v>
      </c>
      <c r="AU23" s="427">
        <v>0</v>
      </c>
      <c r="AV23" s="427">
        <v>0</v>
      </c>
      <c r="AW23" s="438">
        <v>440</v>
      </c>
    </row>
    <row r="24" spans="1:49">
      <c r="A24" s="426">
        <v>2013</v>
      </c>
      <c r="B24" s="427">
        <v>6</v>
      </c>
      <c r="C24" s="1183">
        <v>19</v>
      </c>
      <c r="D24" s="1184"/>
      <c r="E24" s="428">
        <v>6</v>
      </c>
      <c r="F24" s="429">
        <v>1</v>
      </c>
      <c r="G24" s="428">
        <v>10</v>
      </c>
      <c r="H24" s="429">
        <v>13</v>
      </c>
      <c r="I24" s="428">
        <v>2</v>
      </c>
      <c r="J24" s="429">
        <v>4</v>
      </c>
      <c r="K24" s="428">
        <v>1</v>
      </c>
      <c r="L24" s="429">
        <v>4</v>
      </c>
      <c r="M24" s="428">
        <v>8</v>
      </c>
      <c r="N24" s="429">
        <v>3</v>
      </c>
      <c r="O24" s="428">
        <v>16</v>
      </c>
      <c r="P24" s="429">
        <v>2</v>
      </c>
      <c r="Q24" s="428">
        <v>15</v>
      </c>
      <c r="R24" s="429">
        <v>12</v>
      </c>
      <c r="S24" s="428">
        <v>11</v>
      </c>
      <c r="T24" s="429">
        <v>3</v>
      </c>
      <c r="U24" s="428">
        <v>13</v>
      </c>
      <c r="V24" s="429">
        <v>2</v>
      </c>
      <c r="W24" s="428">
        <v>1</v>
      </c>
      <c r="X24" s="429">
        <v>1</v>
      </c>
      <c r="Y24" s="427">
        <v>2</v>
      </c>
      <c r="Z24" s="433">
        <v>2</v>
      </c>
      <c r="AA24" s="427">
        <v>9</v>
      </c>
      <c r="AB24" s="433">
        <v>1</v>
      </c>
      <c r="AC24" s="427">
        <v>4</v>
      </c>
      <c r="AD24" s="433">
        <v>1</v>
      </c>
      <c r="AE24" s="427">
        <v>1</v>
      </c>
      <c r="AF24" s="429">
        <v>2</v>
      </c>
      <c r="AG24" s="428">
        <v>7</v>
      </c>
      <c r="AH24" s="429">
        <v>1</v>
      </c>
      <c r="AI24" s="428">
        <v>2</v>
      </c>
      <c r="AJ24" s="433">
        <v>42</v>
      </c>
      <c r="AK24" s="427">
        <v>32</v>
      </c>
      <c r="AL24" s="433">
        <v>15</v>
      </c>
      <c r="AM24" s="427">
        <v>32</v>
      </c>
      <c r="AN24" s="433">
        <v>64</v>
      </c>
      <c r="AO24" s="427">
        <v>15</v>
      </c>
      <c r="AP24" s="433">
        <v>0</v>
      </c>
      <c r="AQ24" s="427">
        <v>0</v>
      </c>
      <c r="AR24" s="433">
        <v>70</v>
      </c>
      <c r="AS24" s="427">
        <v>0</v>
      </c>
      <c r="AT24" s="427">
        <v>0</v>
      </c>
      <c r="AU24" s="427">
        <v>0</v>
      </c>
      <c r="AV24" s="427">
        <v>0</v>
      </c>
      <c r="AW24" s="438">
        <v>455</v>
      </c>
    </row>
    <row r="25" spans="1:49">
      <c r="A25" s="426"/>
      <c r="B25" s="427">
        <v>1</v>
      </c>
      <c r="C25" s="1185">
        <v>0</v>
      </c>
      <c r="D25" s="1186"/>
      <c r="E25" s="428">
        <v>2</v>
      </c>
      <c r="F25" s="429">
        <v>0</v>
      </c>
      <c r="G25" s="428">
        <v>0</v>
      </c>
      <c r="H25" s="429">
        <v>1</v>
      </c>
      <c r="I25" s="428">
        <v>0</v>
      </c>
      <c r="J25" s="429">
        <v>0</v>
      </c>
      <c r="K25" s="428">
        <v>0</v>
      </c>
      <c r="L25" s="429">
        <v>0</v>
      </c>
      <c r="M25" s="428">
        <v>0</v>
      </c>
      <c r="N25" s="429">
        <v>1</v>
      </c>
      <c r="O25" s="428">
        <v>3</v>
      </c>
      <c r="P25" s="429">
        <v>0</v>
      </c>
      <c r="Q25" s="428">
        <v>8</v>
      </c>
      <c r="R25" s="429">
        <v>0</v>
      </c>
      <c r="S25" s="428">
        <v>0</v>
      </c>
      <c r="T25" s="429">
        <v>0</v>
      </c>
      <c r="U25" s="428">
        <v>1</v>
      </c>
      <c r="V25" s="429">
        <v>0</v>
      </c>
      <c r="W25" s="427">
        <v>0</v>
      </c>
      <c r="X25" s="429">
        <v>0</v>
      </c>
      <c r="Y25" s="427">
        <v>0</v>
      </c>
      <c r="Z25" s="433">
        <v>3</v>
      </c>
      <c r="AA25" s="427">
        <v>0</v>
      </c>
      <c r="AB25" s="433">
        <v>0</v>
      </c>
      <c r="AC25" s="427">
        <v>0</v>
      </c>
      <c r="AD25" s="433">
        <v>0</v>
      </c>
      <c r="AE25" s="427">
        <v>0</v>
      </c>
      <c r="AF25" s="429">
        <v>0</v>
      </c>
      <c r="AG25" s="428">
        <v>0</v>
      </c>
      <c r="AH25" s="429">
        <v>0</v>
      </c>
      <c r="AI25" s="428">
        <v>1</v>
      </c>
      <c r="AJ25" s="433">
        <v>1</v>
      </c>
      <c r="AK25" s="427">
        <v>2</v>
      </c>
      <c r="AL25" s="433">
        <v>3</v>
      </c>
      <c r="AM25" s="427">
        <v>1</v>
      </c>
      <c r="AN25" s="433">
        <v>4</v>
      </c>
      <c r="AO25" s="427">
        <v>0</v>
      </c>
      <c r="AP25" s="433">
        <v>0</v>
      </c>
      <c r="AQ25" s="427">
        <v>6</v>
      </c>
      <c r="AR25" s="433">
        <v>0</v>
      </c>
      <c r="AS25" s="427">
        <v>0</v>
      </c>
      <c r="AT25" s="427">
        <v>1</v>
      </c>
      <c r="AU25" s="427">
        <v>2</v>
      </c>
      <c r="AV25" s="427">
        <v>1</v>
      </c>
      <c r="AW25" s="438">
        <f t="shared" ref="AW25:AW29" si="0">SUM(B25:AV25)</f>
        <v>42</v>
      </c>
    </row>
    <row r="26" spans="1:49">
      <c r="A26" s="426">
        <v>2014</v>
      </c>
      <c r="B26" s="427">
        <v>1</v>
      </c>
      <c r="C26" s="1183">
        <v>0</v>
      </c>
      <c r="D26" s="1184"/>
      <c r="E26" s="428">
        <v>0</v>
      </c>
      <c r="F26" s="429">
        <v>0</v>
      </c>
      <c r="G26" s="428">
        <v>0</v>
      </c>
      <c r="H26" s="429">
        <v>0</v>
      </c>
      <c r="I26" s="428">
        <v>0</v>
      </c>
      <c r="J26" s="429">
        <v>0</v>
      </c>
      <c r="K26" s="428">
        <v>0</v>
      </c>
      <c r="L26" s="429">
        <v>0</v>
      </c>
      <c r="M26" s="428">
        <v>0</v>
      </c>
      <c r="N26" s="429">
        <v>0</v>
      </c>
      <c r="O26" s="428">
        <v>0</v>
      </c>
      <c r="P26" s="429">
        <v>0</v>
      </c>
      <c r="Q26" s="428">
        <v>3</v>
      </c>
      <c r="R26" s="429">
        <v>0</v>
      </c>
      <c r="S26" s="428">
        <v>0</v>
      </c>
      <c r="T26" s="429">
        <v>0</v>
      </c>
      <c r="U26" s="428">
        <v>0</v>
      </c>
      <c r="V26" s="429">
        <v>0</v>
      </c>
      <c r="W26" s="427">
        <v>0</v>
      </c>
      <c r="X26" s="429">
        <v>0</v>
      </c>
      <c r="Y26" s="427">
        <v>0</v>
      </c>
      <c r="Z26" s="429">
        <v>0</v>
      </c>
      <c r="AA26" s="427">
        <v>0</v>
      </c>
      <c r="AB26" s="433">
        <v>0</v>
      </c>
      <c r="AC26" s="427">
        <v>0</v>
      </c>
      <c r="AD26" s="433">
        <v>0</v>
      </c>
      <c r="AE26" s="427">
        <v>0</v>
      </c>
      <c r="AF26" s="429">
        <v>0</v>
      </c>
      <c r="AG26" s="428">
        <v>0</v>
      </c>
      <c r="AH26" s="429">
        <v>0</v>
      </c>
      <c r="AI26" s="428">
        <v>0</v>
      </c>
      <c r="AJ26" s="433">
        <v>0</v>
      </c>
      <c r="AK26" s="427">
        <v>0</v>
      </c>
      <c r="AL26" s="433">
        <v>0</v>
      </c>
      <c r="AM26" s="427">
        <v>0</v>
      </c>
      <c r="AN26" s="433">
        <v>0</v>
      </c>
      <c r="AO26" s="427">
        <v>0</v>
      </c>
      <c r="AP26" s="433">
        <v>0</v>
      </c>
      <c r="AQ26" s="427">
        <v>1</v>
      </c>
      <c r="AR26" s="433">
        <v>0</v>
      </c>
      <c r="AS26" s="427">
        <v>0</v>
      </c>
      <c r="AT26" s="427">
        <v>1</v>
      </c>
      <c r="AU26" s="427">
        <v>0</v>
      </c>
      <c r="AV26" s="427">
        <v>0</v>
      </c>
      <c r="AW26" s="438">
        <f t="shared" si="0"/>
        <v>6</v>
      </c>
    </row>
    <row r="27" spans="1:49">
      <c r="A27" s="426">
        <v>2015</v>
      </c>
      <c r="B27" s="427">
        <v>0</v>
      </c>
      <c r="C27" s="1183">
        <v>0</v>
      </c>
      <c r="D27" s="1184"/>
      <c r="E27" s="428">
        <v>0</v>
      </c>
      <c r="F27" s="429">
        <v>0</v>
      </c>
      <c r="G27" s="428">
        <v>0</v>
      </c>
      <c r="H27" s="429">
        <v>0</v>
      </c>
      <c r="I27" s="428">
        <v>0</v>
      </c>
      <c r="J27" s="429">
        <v>0</v>
      </c>
      <c r="K27" s="428">
        <v>0</v>
      </c>
      <c r="L27" s="429">
        <v>0</v>
      </c>
      <c r="M27" s="428">
        <v>1</v>
      </c>
      <c r="N27" s="429">
        <v>0</v>
      </c>
      <c r="O27" s="428">
        <v>0</v>
      </c>
      <c r="P27" s="429">
        <v>0</v>
      </c>
      <c r="Q27" s="428">
        <v>2</v>
      </c>
      <c r="R27" s="429">
        <v>0</v>
      </c>
      <c r="S27" s="428">
        <v>0</v>
      </c>
      <c r="T27" s="429">
        <v>0</v>
      </c>
      <c r="U27" s="428">
        <v>0</v>
      </c>
      <c r="V27" s="429">
        <v>0</v>
      </c>
      <c r="W27" s="427">
        <v>0</v>
      </c>
      <c r="X27" s="429">
        <v>0</v>
      </c>
      <c r="Y27" s="427">
        <v>0</v>
      </c>
      <c r="Z27" s="429">
        <v>0</v>
      </c>
      <c r="AA27" s="427">
        <v>0</v>
      </c>
      <c r="AB27" s="433">
        <v>0</v>
      </c>
      <c r="AC27" s="427">
        <v>0</v>
      </c>
      <c r="AD27" s="433">
        <v>0</v>
      </c>
      <c r="AE27" s="427">
        <v>0</v>
      </c>
      <c r="AF27" s="429">
        <v>0</v>
      </c>
      <c r="AG27" s="428">
        <v>0</v>
      </c>
      <c r="AH27" s="429">
        <v>0</v>
      </c>
      <c r="AI27" s="428">
        <v>0</v>
      </c>
      <c r="AJ27" s="433">
        <v>0</v>
      </c>
      <c r="AK27" s="427">
        <v>1</v>
      </c>
      <c r="AL27" s="433">
        <v>0</v>
      </c>
      <c r="AM27" s="427">
        <v>0</v>
      </c>
      <c r="AN27" s="433">
        <v>1</v>
      </c>
      <c r="AO27" s="427">
        <v>0</v>
      </c>
      <c r="AP27" s="433">
        <v>0</v>
      </c>
      <c r="AQ27" s="427">
        <v>1</v>
      </c>
      <c r="AR27" s="433">
        <v>0</v>
      </c>
      <c r="AS27" s="427">
        <v>0</v>
      </c>
      <c r="AT27" s="427">
        <v>0</v>
      </c>
      <c r="AU27" s="427">
        <v>0</v>
      </c>
      <c r="AV27" s="427">
        <v>1</v>
      </c>
      <c r="AW27" s="438">
        <f t="shared" si="0"/>
        <v>7</v>
      </c>
    </row>
    <row r="28" spans="1:49">
      <c r="A28" s="426">
        <v>2016</v>
      </c>
      <c r="B28" s="427">
        <v>0</v>
      </c>
      <c r="C28" s="1183">
        <v>0</v>
      </c>
      <c r="D28" s="1184"/>
      <c r="E28" s="428">
        <v>0</v>
      </c>
      <c r="F28" s="429">
        <v>0</v>
      </c>
      <c r="G28" s="428">
        <v>0</v>
      </c>
      <c r="H28" s="429">
        <v>1</v>
      </c>
      <c r="I28" s="428">
        <v>0</v>
      </c>
      <c r="J28" s="429">
        <v>0</v>
      </c>
      <c r="K28" s="428">
        <v>0</v>
      </c>
      <c r="L28" s="429">
        <v>0</v>
      </c>
      <c r="M28" s="428">
        <v>0</v>
      </c>
      <c r="N28" s="429">
        <v>0</v>
      </c>
      <c r="O28" s="428">
        <v>0</v>
      </c>
      <c r="P28" s="429">
        <v>0</v>
      </c>
      <c r="Q28" s="428">
        <v>0</v>
      </c>
      <c r="R28" s="429">
        <v>0</v>
      </c>
      <c r="S28" s="428">
        <v>0</v>
      </c>
      <c r="T28" s="429">
        <v>0</v>
      </c>
      <c r="U28" s="428">
        <v>0</v>
      </c>
      <c r="V28" s="429">
        <v>0</v>
      </c>
      <c r="W28" s="427">
        <v>0</v>
      </c>
      <c r="X28" s="429">
        <v>0</v>
      </c>
      <c r="Y28" s="427">
        <v>0</v>
      </c>
      <c r="Z28" s="429">
        <v>0</v>
      </c>
      <c r="AA28" s="427">
        <v>0</v>
      </c>
      <c r="AB28" s="433">
        <v>0</v>
      </c>
      <c r="AC28" s="427">
        <v>0</v>
      </c>
      <c r="AD28" s="433">
        <v>0</v>
      </c>
      <c r="AE28" s="427">
        <v>0</v>
      </c>
      <c r="AF28" s="429">
        <v>0</v>
      </c>
      <c r="AG28" s="428">
        <v>1</v>
      </c>
      <c r="AH28" s="429">
        <v>0</v>
      </c>
      <c r="AI28" s="428">
        <v>0</v>
      </c>
      <c r="AJ28" s="433">
        <v>0</v>
      </c>
      <c r="AK28" s="427">
        <v>1</v>
      </c>
      <c r="AL28" s="433">
        <v>0</v>
      </c>
      <c r="AM28" s="427">
        <v>0</v>
      </c>
      <c r="AN28" s="433">
        <v>0</v>
      </c>
      <c r="AO28" s="427">
        <v>0</v>
      </c>
      <c r="AP28" s="433">
        <v>0</v>
      </c>
      <c r="AQ28" s="427">
        <v>1</v>
      </c>
      <c r="AR28" s="433">
        <v>0</v>
      </c>
      <c r="AS28" s="427">
        <v>0</v>
      </c>
      <c r="AT28" s="427">
        <v>0</v>
      </c>
      <c r="AU28" s="427">
        <v>1</v>
      </c>
      <c r="AV28" s="427">
        <v>1</v>
      </c>
      <c r="AW28" s="438">
        <f t="shared" si="0"/>
        <v>6</v>
      </c>
    </row>
    <row r="29" spans="1:49">
      <c r="A29" s="430">
        <v>2017</v>
      </c>
      <c r="B29" s="427">
        <v>0</v>
      </c>
      <c r="C29" s="1183">
        <v>0</v>
      </c>
      <c r="D29" s="1184"/>
      <c r="E29" s="428">
        <v>0</v>
      </c>
      <c r="F29" s="429">
        <v>0</v>
      </c>
      <c r="G29" s="428">
        <v>0</v>
      </c>
      <c r="H29" s="431">
        <v>0</v>
      </c>
      <c r="I29" s="428">
        <v>0</v>
      </c>
      <c r="J29" s="429">
        <v>0</v>
      </c>
      <c r="K29" s="428">
        <v>0</v>
      </c>
      <c r="L29" s="429">
        <v>0</v>
      </c>
      <c r="M29" s="432">
        <v>1</v>
      </c>
      <c r="N29" s="429">
        <v>0</v>
      </c>
      <c r="O29" s="428">
        <v>0</v>
      </c>
      <c r="P29" s="429">
        <v>0</v>
      </c>
      <c r="Q29" s="432">
        <v>8</v>
      </c>
      <c r="R29" s="429">
        <v>0</v>
      </c>
      <c r="S29" s="428">
        <v>0</v>
      </c>
      <c r="T29" s="429">
        <v>0</v>
      </c>
      <c r="U29" s="428">
        <v>0</v>
      </c>
      <c r="V29" s="429">
        <v>0</v>
      </c>
      <c r="W29" s="427">
        <v>0</v>
      </c>
      <c r="X29" s="429">
        <v>0</v>
      </c>
      <c r="Y29" s="427">
        <v>0</v>
      </c>
      <c r="Z29" s="429">
        <v>0</v>
      </c>
      <c r="AA29" s="427">
        <v>0</v>
      </c>
      <c r="AB29" s="433">
        <v>0</v>
      </c>
      <c r="AC29" s="427">
        <v>0</v>
      </c>
      <c r="AD29" s="433">
        <v>0</v>
      </c>
      <c r="AE29" s="427">
        <v>0</v>
      </c>
      <c r="AF29" s="429">
        <v>0</v>
      </c>
      <c r="AG29" s="432">
        <v>0</v>
      </c>
      <c r="AH29" s="429">
        <v>0</v>
      </c>
      <c r="AI29" s="428">
        <v>0</v>
      </c>
      <c r="AJ29" s="433">
        <v>0</v>
      </c>
      <c r="AK29" s="435">
        <v>0</v>
      </c>
      <c r="AL29" s="433">
        <v>0</v>
      </c>
      <c r="AM29" s="427">
        <v>0</v>
      </c>
      <c r="AN29" s="436">
        <v>1</v>
      </c>
      <c r="AO29" s="427">
        <v>0</v>
      </c>
      <c r="AP29" s="433">
        <v>0</v>
      </c>
      <c r="AQ29" s="435">
        <v>0</v>
      </c>
      <c r="AR29" s="433">
        <v>0</v>
      </c>
      <c r="AS29" s="427">
        <v>0</v>
      </c>
      <c r="AT29" s="427">
        <v>0</v>
      </c>
      <c r="AU29" s="435">
        <v>0</v>
      </c>
      <c r="AV29" s="435">
        <v>0</v>
      </c>
      <c r="AW29" s="439">
        <f t="shared" si="0"/>
        <v>10</v>
      </c>
    </row>
  </sheetData>
  <mergeCells count="10">
    <mergeCell ref="C25:D25"/>
    <mergeCell ref="C26:D26"/>
    <mergeCell ref="C27:D27"/>
    <mergeCell ref="C28:D28"/>
    <mergeCell ref="C29:D29"/>
    <mergeCell ref="C20:D20"/>
    <mergeCell ref="C21:D21"/>
    <mergeCell ref="C22:D22"/>
    <mergeCell ref="C23:D23"/>
    <mergeCell ref="C24:D24"/>
  </mergeCells>
  <pageMargins left="0.69930555555555596" right="0.69930555555555596" top="0.75" bottom="0.75" header="0.3" footer="0.3"/>
  <pageSetup orientation="portrait"/>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4:I21"/>
  <sheetViews>
    <sheetView topLeftCell="A10" workbookViewId="0">
      <selection activeCell="J8" sqref="J8"/>
    </sheetView>
  </sheetViews>
  <sheetFormatPr baseColWidth="10" defaultColWidth="9" defaultRowHeight="15"/>
  <cols>
    <col min="3" max="3" width="17.140625" customWidth="1"/>
  </cols>
  <sheetData>
    <row r="4" spans="2:9">
      <c r="B4" s="1188" t="s">
        <v>0</v>
      </c>
      <c r="C4" s="1190" t="s">
        <v>2297</v>
      </c>
      <c r="D4" s="1187" t="s">
        <v>2298</v>
      </c>
      <c r="E4" s="1187"/>
      <c r="F4" s="1187"/>
      <c r="G4" s="1187"/>
      <c r="H4" s="1187"/>
      <c r="I4" s="1187"/>
    </row>
    <row r="5" spans="2:9">
      <c r="B5" s="1189"/>
      <c r="C5" s="1191"/>
      <c r="D5" s="403">
        <v>2010</v>
      </c>
      <c r="E5" s="403">
        <v>2011</v>
      </c>
      <c r="F5" s="404">
        <v>2012</v>
      </c>
      <c r="G5" s="404">
        <v>2013</v>
      </c>
      <c r="H5" s="404">
        <v>2014</v>
      </c>
      <c r="I5" s="404">
        <v>2015</v>
      </c>
    </row>
    <row r="6" spans="2:9" ht="28.5" customHeight="1">
      <c r="B6" s="405">
        <v>1</v>
      </c>
      <c r="C6" s="406" t="s">
        <v>2299</v>
      </c>
      <c r="D6" s="407">
        <v>65300</v>
      </c>
      <c r="E6" s="407">
        <v>66053</v>
      </c>
      <c r="F6" s="407">
        <v>52357</v>
      </c>
      <c r="G6" s="408">
        <v>60004</v>
      </c>
      <c r="H6" s="408">
        <v>72281</v>
      </c>
      <c r="I6" s="407"/>
    </row>
    <row r="7" spans="2:9" ht="38.25">
      <c r="B7" s="409">
        <v>2</v>
      </c>
      <c r="C7" s="410" t="s">
        <v>2300</v>
      </c>
      <c r="D7" s="411">
        <v>14625</v>
      </c>
      <c r="E7" s="411">
        <v>17144</v>
      </c>
      <c r="F7" s="411">
        <v>21609</v>
      </c>
      <c r="G7" s="411">
        <v>16430</v>
      </c>
      <c r="H7" s="412">
        <v>25806</v>
      </c>
      <c r="I7" s="411"/>
    </row>
    <row r="8" spans="2:9" ht="38.25">
      <c r="B8" s="405">
        <v>3</v>
      </c>
      <c r="C8" s="406" t="s">
        <v>2301</v>
      </c>
      <c r="D8" s="413">
        <v>215</v>
      </c>
      <c r="E8" s="413">
        <v>273</v>
      </c>
      <c r="F8" s="413">
        <v>608</v>
      </c>
      <c r="G8" s="407">
        <v>315</v>
      </c>
      <c r="H8" s="414">
        <v>391</v>
      </c>
      <c r="I8" s="413"/>
    </row>
    <row r="9" spans="2:9" ht="25.5">
      <c r="B9" s="409">
        <v>4</v>
      </c>
      <c r="C9" s="410" t="s">
        <v>2302</v>
      </c>
      <c r="D9" s="411">
        <v>1096</v>
      </c>
      <c r="E9" s="411">
        <v>2124</v>
      </c>
      <c r="F9" s="411">
        <v>1965</v>
      </c>
      <c r="G9" s="411">
        <v>1456</v>
      </c>
      <c r="H9" s="412">
        <v>2274</v>
      </c>
      <c r="I9" s="411"/>
    </row>
    <row r="10" spans="2:9" ht="38.25">
      <c r="B10" s="405">
        <v>5</v>
      </c>
      <c r="C10" s="406" t="s">
        <v>2303</v>
      </c>
      <c r="D10" s="407">
        <v>11940</v>
      </c>
      <c r="E10" s="407">
        <v>11619</v>
      </c>
      <c r="F10" s="407">
        <v>12920</v>
      </c>
      <c r="G10" s="407">
        <v>14651</v>
      </c>
      <c r="H10" s="415">
        <v>15981</v>
      </c>
      <c r="I10" s="407"/>
    </row>
    <row r="11" spans="2:9" ht="38.25">
      <c r="B11" s="409">
        <v>6</v>
      </c>
      <c r="C11" s="410" t="s">
        <v>2304</v>
      </c>
      <c r="D11" s="411">
        <v>6424</v>
      </c>
      <c r="E11" s="411">
        <v>6610</v>
      </c>
      <c r="F11" s="411">
        <v>7252</v>
      </c>
      <c r="G11" s="411">
        <v>7222</v>
      </c>
      <c r="H11" s="412">
        <v>6863</v>
      </c>
      <c r="I11" s="411"/>
    </row>
    <row r="12" spans="2:9" ht="25.5">
      <c r="B12" s="405">
        <v>7</v>
      </c>
      <c r="C12" s="406" t="s">
        <v>2305</v>
      </c>
      <c r="D12" s="407">
        <v>128000</v>
      </c>
      <c r="E12" s="413" t="s">
        <v>2306</v>
      </c>
      <c r="F12" s="407">
        <v>156563</v>
      </c>
      <c r="G12" s="407">
        <v>148107</v>
      </c>
      <c r="H12" s="415">
        <v>169182</v>
      </c>
      <c r="I12" s="407"/>
    </row>
    <row r="13" spans="2:9" ht="38.25">
      <c r="B13" s="409">
        <v>8</v>
      </c>
      <c r="C13" s="410" t="s">
        <v>2307</v>
      </c>
      <c r="D13" s="416" t="s">
        <v>2306</v>
      </c>
      <c r="E13" s="416" t="s">
        <v>2306</v>
      </c>
      <c r="F13" s="416">
        <v>983</v>
      </c>
      <c r="G13" s="411">
        <v>1665</v>
      </c>
      <c r="H13" s="412">
        <v>1022</v>
      </c>
      <c r="I13" s="416"/>
    </row>
    <row r="14" spans="2:9" ht="25.5">
      <c r="B14" s="405">
        <v>9</v>
      </c>
      <c r="C14" s="406" t="s">
        <v>2308</v>
      </c>
      <c r="D14" s="413" t="s">
        <v>2306</v>
      </c>
      <c r="E14" s="413" t="s">
        <v>2306</v>
      </c>
      <c r="F14" s="407">
        <v>2354</v>
      </c>
      <c r="G14" s="407">
        <v>1641</v>
      </c>
      <c r="H14" s="415">
        <v>2228</v>
      </c>
      <c r="I14" s="407"/>
    </row>
    <row r="15" spans="2:9" ht="25.5">
      <c r="B15" s="409">
        <v>10</v>
      </c>
      <c r="C15" s="410" t="s">
        <v>2309</v>
      </c>
      <c r="D15" s="416" t="s">
        <v>2306</v>
      </c>
      <c r="E15" s="416" t="s">
        <v>2306</v>
      </c>
      <c r="F15" s="411">
        <v>5059</v>
      </c>
      <c r="G15" s="411">
        <v>4535</v>
      </c>
      <c r="H15" s="412">
        <v>4715</v>
      </c>
      <c r="I15" s="411"/>
    </row>
    <row r="16" spans="2:9" ht="25.5">
      <c r="B16" s="405">
        <v>11</v>
      </c>
      <c r="C16" s="406" t="s">
        <v>2310</v>
      </c>
      <c r="D16" s="407">
        <v>29939</v>
      </c>
      <c r="E16" s="407">
        <v>18048</v>
      </c>
      <c r="F16" s="407">
        <v>105087</v>
      </c>
      <c r="G16" s="407">
        <v>95011</v>
      </c>
      <c r="H16" s="415">
        <v>96139</v>
      </c>
      <c r="I16" s="407"/>
    </row>
    <row r="17" spans="2:9" ht="25.5">
      <c r="B17" s="409">
        <v>12</v>
      </c>
      <c r="C17" s="410" t="s">
        <v>2311</v>
      </c>
      <c r="D17" s="411">
        <v>12764</v>
      </c>
      <c r="E17" s="411">
        <v>11766</v>
      </c>
      <c r="F17" s="411">
        <v>14095</v>
      </c>
      <c r="G17" s="411">
        <v>14152</v>
      </c>
      <c r="H17" s="412">
        <v>16915</v>
      </c>
      <c r="I17" s="411"/>
    </row>
    <row r="18" spans="2:9" ht="25.5">
      <c r="B18" s="405">
        <v>13</v>
      </c>
      <c r="C18" s="406" t="s">
        <v>2312</v>
      </c>
      <c r="D18" s="407">
        <v>28457</v>
      </c>
      <c r="E18" s="407">
        <v>26121</v>
      </c>
      <c r="F18" s="407">
        <v>35047</v>
      </c>
      <c r="G18" s="407">
        <v>35489</v>
      </c>
      <c r="H18" s="415">
        <v>31899</v>
      </c>
      <c r="I18" s="407"/>
    </row>
    <row r="19" spans="2:9" ht="38.25">
      <c r="B19" s="409">
        <v>14</v>
      </c>
      <c r="C19" s="410" t="s">
        <v>2285</v>
      </c>
      <c r="D19" s="411">
        <v>26477</v>
      </c>
      <c r="E19" s="411">
        <v>23146</v>
      </c>
      <c r="F19" s="411">
        <v>27212</v>
      </c>
      <c r="G19" s="411">
        <v>17984</v>
      </c>
      <c r="H19" s="412">
        <v>26358</v>
      </c>
      <c r="I19" s="411"/>
    </row>
    <row r="20" spans="2:9" ht="45">
      <c r="B20" s="417">
        <v>15</v>
      </c>
      <c r="C20" s="418" t="s">
        <v>2313</v>
      </c>
      <c r="D20" s="407">
        <v>26371</v>
      </c>
      <c r="E20" s="407">
        <v>27028</v>
      </c>
      <c r="F20" s="407">
        <v>35322</v>
      </c>
      <c r="G20" s="407">
        <v>31971</v>
      </c>
      <c r="H20" s="415">
        <v>25461</v>
      </c>
      <c r="I20" s="407"/>
    </row>
    <row r="21" spans="2:9">
      <c r="B21" s="419"/>
      <c r="C21" s="420" t="s">
        <v>1807</v>
      </c>
      <c r="D21" s="421">
        <v>351608</v>
      </c>
      <c r="E21" s="421">
        <v>209932</v>
      </c>
      <c r="F21" s="421">
        <v>478433</v>
      </c>
      <c r="G21" s="421">
        <f>SUM(G6:G20)</f>
        <v>450633</v>
      </c>
      <c r="H21" s="421">
        <f>SUM(H6:H20)</f>
        <v>497515</v>
      </c>
      <c r="I21" s="421"/>
    </row>
  </sheetData>
  <mergeCells count="3">
    <mergeCell ref="D4:I4"/>
    <mergeCell ref="B4:B5"/>
    <mergeCell ref="C4:C5"/>
  </mergeCells>
  <hyperlinks>
    <hyperlink ref="C20" location="_ftn1" display="Monumento Cultural Takalik Abaj[1]" xr:uid="{00000000-0004-0000-1000-000000000000}"/>
  </hyperlinks>
  <pageMargins left="0.69930555555555596" right="0.69930555555555596"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3:J19"/>
  <sheetViews>
    <sheetView topLeftCell="B10" workbookViewId="0">
      <selection activeCell="I10" sqref="I10"/>
    </sheetView>
  </sheetViews>
  <sheetFormatPr baseColWidth="10" defaultColWidth="9" defaultRowHeight="15"/>
  <cols>
    <col min="3" max="3" width="10.85546875" bestFit="1" customWidth="1"/>
    <col min="10" max="10" width="11.7109375" customWidth="1"/>
  </cols>
  <sheetData>
    <row r="3" spans="2:10">
      <c r="B3" s="1194" t="s">
        <v>2314</v>
      </c>
      <c r="C3" s="1192" t="s">
        <v>2315</v>
      </c>
      <c r="D3" s="1192"/>
      <c r="E3" s="1192"/>
      <c r="F3" s="1192"/>
      <c r="G3" s="1192"/>
      <c r="H3" s="1192"/>
      <c r="I3" s="1192"/>
      <c r="J3" s="1193"/>
    </row>
    <row r="4" spans="2:10">
      <c r="B4" s="1195"/>
      <c r="C4" s="389">
        <v>2008</v>
      </c>
      <c r="D4" s="389">
        <v>2009</v>
      </c>
      <c r="E4" s="389">
        <v>2010</v>
      </c>
      <c r="F4" s="389">
        <v>2011</v>
      </c>
      <c r="G4" s="389">
        <v>2012</v>
      </c>
      <c r="H4" s="389">
        <v>2013</v>
      </c>
      <c r="I4" s="389">
        <v>2014</v>
      </c>
      <c r="J4" s="398">
        <v>2015</v>
      </c>
    </row>
    <row r="5" spans="2:10">
      <c r="B5" s="390" t="s">
        <v>2316</v>
      </c>
      <c r="C5" s="391">
        <v>68000000</v>
      </c>
      <c r="D5" s="391">
        <v>82147924</v>
      </c>
      <c r="E5" s="391">
        <v>82147924</v>
      </c>
      <c r="F5" s="391">
        <v>92362605</v>
      </c>
      <c r="G5" s="391">
        <v>84921595</v>
      </c>
      <c r="H5" s="391">
        <v>95766839</v>
      </c>
      <c r="I5" s="391">
        <v>95766820</v>
      </c>
      <c r="J5" s="399">
        <v>107635036</v>
      </c>
    </row>
    <row r="6" spans="2:10">
      <c r="B6" s="392" t="s">
        <v>2317</v>
      </c>
      <c r="C6" s="393">
        <v>50040073</v>
      </c>
      <c r="D6" s="393">
        <v>64374263</v>
      </c>
      <c r="E6" s="393">
        <v>66441211</v>
      </c>
      <c r="F6" s="393">
        <v>92362605</v>
      </c>
      <c r="G6" s="394">
        <v>76854915</v>
      </c>
      <c r="H6" s="394">
        <v>95766835</v>
      </c>
      <c r="I6" s="394">
        <v>85606820</v>
      </c>
      <c r="J6" s="400">
        <v>104940859</v>
      </c>
    </row>
    <row r="7" spans="2:10">
      <c r="B7" s="390" t="s">
        <v>2318</v>
      </c>
      <c r="C7" s="391">
        <v>44048843</v>
      </c>
      <c r="D7" s="391">
        <v>61497453</v>
      </c>
      <c r="E7" s="391">
        <v>63644679</v>
      </c>
      <c r="F7" s="395">
        <v>89580207.519999996</v>
      </c>
      <c r="G7" s="395">
        <v>71905986.120000005</v>
      </c>
      <c r="H7" s="395">
        <v>72421917.900000006</v>
      </c>
      <c r="I7" s="395">
        <v>82803742.079999998</v>
      </c>
      <c r="J7" s="401">
        <v>82287209.290000007</v>
      </c>
    </row>
    <row r="8" spans="2:10">
      <c r="B8" s="396" t="s">
        <v>2319</v>
      </c>
      <c r="C8" s="397">
        <v>88.03</v>
      </c>
      <c r="D8" s="397">
        <v>95.53</v>
      </c>
      <c r="E8" s="397">
        <v>95.79</v>
      </c>
      <c r="F8" s="397">
        <v>96.99</v>
      </c>
      <c r="G8" s="397">
        <v>93.56</v>
      </c>
      <c r="H8" s="397">
        <f t="shared" ref="H8:J8" si="0">H7*100/H5</f>
        <v>75.623168370421013</v>
      </c>
      <c r="I8" s="397">
        <f t="shared" si="0"/>
        <v>86.463915247472983</v>
      </c>
      <c r="J8" s="402">
        <f t="shared" si="0"/>
        <v>76.4502083596646</v>
      </c>
    </row>
    <row r="11" spans="2:10">
      <c r="B11" s="388" t="s">
        <v>2045</v>
      </c>
      <c r="C11" s="388" t="s">
        <v>2064</v>
      </c>
    </row>
    <row r="12" spans="2:10">
      <c r="B12" s="386">
        <v>2008</v>
      </c>
      <c r="C12" s="391">
        <v>44048843</v>
      </c>
    </row>
    <row r="13" spans="2:10">
      <c r="B13" s="386">
        <v>2009</v>
      </c>
      <c r="C13" s="391">
        <v>61497453</v>
      </c>
    </row>
    <row r="14" spans="2:10">
      <c r="B14" s="386">
        <v>2010</v>
      </c>
      <c r="C14" s="391">
        <v>63644679</v>
      </c>
    </row>
    <row r="15" spans="2:10">
      <c r="B15" s="386">
        <v>2011</v>
      </c>
      <c r="C15" s="395">
        <v>89580207.519999996</v>
      </c>
    </row>
    <row r="16" spans="2:10">
      <c r="B16" s="386">
        <v>2012</v>
      </c>
      <c r="C16" s="395">
        <v>71905986.120000005</v>
      </c>
    </row>
    <row r="17" spans="2:3">
      <c r="B17" s="386">
        <v>2013</v>
      </c>
      <c r="C17" s="395">
        <v>72421917.900000006</v>
      </c>
    </row>
    <row r="18" spans="2:3">
      <c r="B18" s="386">
        <v>2014</v>
      </c>
      <c r="C18" s="395">
        <v>82803742.079999998</v>
      </c>
    </row>
    <row r="19" spans="2:3">
      <c r="B19" s="386">
        <v>2015</v>
      </c>
      <c r="C19" s="395">
        <v>82287209.290000007</v>
      </c>
    </row>
  </sheetData>
  <mergeCells count="2">
    <mergeCell ref="C3:J3"/>
    <mergeCell ref="B3:B4"/>
  </mergeCells>
  <pageMargins left="0.69930555555555596" right="0.69930555555555596" top="0.75" bottom="0.75" header="0.3" footer="0.3"/>
  <pageSetup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4:C31"/>
  <sheetViews>
    <sheetView zoomScale="80" zoomScaleNormal="80" workbookViewId="0">
      <selection activeCell="H13" sqref="H13"/>
    </sheetView>
  </sheetViews>
  <sheetFormatPr baseColWidth="10" defaultColWidth="9" defaultRowHeight="15"/>
  <sheetData>
    <row r="4" spans="2:3">
      <c r="B4" s="388" t="s">
        <v>2045</v>
      </c>
      <c r="C4" s="388" t="s">
        <v>2064</v>
      </c>
    </row>
    <row r="5" spans="2:3">
      <c r="B5" s="386">
        <v>1989</v>
      </c>
      <c r="C5" s="386">
        <v>1</v>
      </c>
    </row>
    <row r="6" spans="2:3">
      <c r="B6" s="386">
        <v>1990</v>
      </c>
      <c r="C6" s="386">
        <v>17</v>
      </c>
    </row>
    <row r="7" spans="2:3">
      <c r="B7" s="386">
        <v>1991</v>
      </c>
      <c r="C7" s="386">
        <v>21</v>
      </c>
    </row>
    <row r="8" spans="2:3">
      <c r="B8" s="386">
        <v>1992</v>
      </c>
      <c r="C8" s="386">
        <v>30</v>
      </c>
    </row>
    <row r="9" spans="2:3">
      <c r="B9" s="386">
        <v>1993</v>
      </c>
      <c r="C9" s="386">
        <v>32</v>
      </c>
    </row>
    <row r="10" spans="2:3">
      <c r="B10" s="386">
        <v>1994</v>
      </c>
      <c r="C10" s="386">
        <v>26</v>
      </c>
    </row>
    <row r="11" spans="2:3">
      <c r="B11" s="386">
        <v>1995</v>
      </c>
      <c r="C11" s="386">
        <v>23</v>
      </c>
    </row>
    <row r="12" spans="2:3">
      <c r="B12" s="386">
        <v>1996</v>
      </c>
      <c r="C12" s="386">
        <v>22</v>
      </c>
    </row>
    <row r="13" spans="2:3">
      <c r="B13" s="386">
        <v>1997</v>
      </c>
      <c r="C13" s="386">
        <v>23</v>
      </c>
    </row>
    <row r="14" spans="2:3">
      <c r="B14" s="386">
        <v>1998</v>
      </c>
      <c r="C14" s="386">
        <v>49</v>
      </c>
    </row>
    <row r="15" spans="2:3">
      <c r="B15" s="386">
        <v>1999</v>
      </c>
      <c r="C15" s="386">
        <v>39</v>
      </c>
    </row>
    <row r="16" spans="2:3">
      <c r="B16" s="386">
        <v>2000</v>
      </c>
      <c r="C16" s="386">
        <v>45</v>
      </c>
    </row>
    <row r="17" spans="2:3">
      <c r="B17" s="386">
        <v>2001</v>
      </c>
      <c r="C17" s="386">
        <v>33</v>
      </c>
    </row>
    <row r="18" spans="2:3">
      <c r="B18" s="386">
        <v>2002</v>
      </c>
      <c r="C18" s="386">
        <v>27</v>
      </c>
    </row>
    <row r="19" spans="2:3">
      <c r="B19" s="386">
        <v>2003</v>
      </c>
      <c r="C19" s="386">
        <v>14</v>
      </c>
    </row>
    <row r="20" spans="2:3">
      <c r="B20" s="386">
        <v>2004</v>
      </c>
      <c r="C20" s="386">
        <v>18</v>
      </c>
    </row>
    <row r="21" spans="2:3">
      <c r="B21" s="386">
        <v>2005</v>
      </c>
      <c r="C21" s="386">
        <v>31</v>
      </c>
    </row>
    <row r="22" spans="2:3">
      <c r="B22" s="386">
        <v>2006</v>
      </c>
      <c r="C22" s="386">
        <v>21</v>
      </c>
    </row>
    <row r="23" spans="2:3">
      <c r="B23" s="386">
        <v>2007</v>
      </c>
      <c r="C23" s="386">
        <v>15</v>
      </c>
    </row>
    <row r="24" spans="2:3">
      <c r="B24" s="386">
        <v>2008</v>
      </c>
      <c r="C24" s="386">
        <v>15</v>
      </c>
    </row>
    <row r="25" spans="2:3">
      <c r="B25" s="386">
        <v>2009</v>
      </c>
      <c r="C25" s="386">
        <v>4</v>
      </c>
    </row>
    <row r="26" spans="2:3">
      <c r="B26" s="386">
        <v>2010</v>
      </c>
      <c r="C26" s="386">
        <v>19</v>
      </c>
    </row>
    <row r="27" spans="2:3">
      <c r="B27" s="386">
        <v>2011</v>
      </c>
      <c r="C27" s="386">
        <v>22</v>
      </c>
    </row>
    <row r="28" spans="2:3">
      <c r="B28" s="386">
        <v>2012</v>
      </c>
      <c r="C28" s="386">
        <v>6</v>
      </c>
    </row>
    <row r="29" spans="2:3">
      <c r="B29" s="386">
        <v>2013</v>
      </c>
      <c r="C29" s="386">
        <v>29</v>
      </c>
    </row>
    <row r="30" spans="2:3">
      <c r="B30" s="386">
        <v>2014</v>
      </c>
      <c r="C30" s="386">
        <v>21</v>
      </c>
    </row>
    <row r="31" spans="2:3">
      <c r="B31" s="386">
        <v>2015</v>
      </c>
      <c r="C31" s="386">
        <v>25</v>
      </c>
    </row>
  </sheetData>
  <pageMargins left="0.69930555555555596" right="0.69930555555555596"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C30"/>
  <sheetViews>
    <sheetView topLeftCell="A17" workbookViewId="0">
      <selection activeCell="B25" sqref="B25"/>
    </sheetView>
  </sheetViews>
  <sheetFormatPr baseColWidth="10" defaultColWidth="9" defaultRowHeight="15"/>
  <cols>
    <col min="1" max="1" width="6.85546875" customWidth="1"/>
    <col min="2" max="2" width="12" customWidth="1"/>
    <col min="3" max="3" width="14.42578125" customWidth="1"/>
    <col min="4" max="4" width="23.7109375" customWidth="1"/>
    <col min="5" max="5" width="9.42578125" customWidth="1"/>
    <col min="6" max="6" width="14" customWidth="1"/>
    <col min="7" max="7" width="10" customWidth="1"/>
    <col min="8" max="8" width="12.85546875" customWidth="1"/>
    <col min="9" max="9" width="13.85546875" customWidth="1"/>
    <col min="10" max="10" width="17.5703125" customWidth="1"/>
    <col min="11" max="11" width="13.85546875" customWidth="1"/>
    <col min="12" max="12" width="31.7109375" customWidth="1"/>
    <col min="13" max="13" width="11.7109375" customWidth="1"/>
    <col min="14" max="14" width="11.85546875" customWidth="1"/>
    <col min="15" max="15" width="12.85546875" customWidth="1"/>
    <col min="16" max="16" width="27.140625" customWidth="1"/>
    <col min="17" max="17" width="14.42578125" customWidth="1"/>
    <col min="18" max="18" width="12.85546875" customWidth="1"/>
    <col min="19" max="19" width="12.42578125" customWidth="1"/>
    <col min="20" max="20" width="11" customWidth="1"/>
    <col min="21" max="21" width="15.5703125" customWidth="1"/>
    <col min="22" max="22" width="11.140625" customWidth="1"/>
    <col min="23" max="23" width="12.28515625" customWidth="1"/>
    <col min="24" max="24" width="14.140625" customWidth="1"/>
    <col min="25" max="25" width="21.140625" customWidth="1"/>
  </cols>
  <sheetData>
    <row r="1" spans="1:25" s="221" customFormat="1" ht="36">
      <c r="A1" s="166" t="s">
        <v>2703</v>
      </c>
      <c r="B1" s="151" t="s">
        <v>1814</v>
      </c>
      <c r="C1" s="329" t="s">
        <v>2</v>
      </c>
      <c r="D1" s="151" t="s">
        <v>3</v>
      </c>
      <c r="E1" s="151" t="s">
        <v>4</v>
      </c>
      <c r="F1" s="151" t="s">
        <v>5</v>
      </c>
      <c r="G1" s="151" t="s">
        <v>6</v>
      </c>
      <c r="H1" s="151" t="s">
        <v>7</v>
      </c>
      <c r="I1" s="810" t="s">
        <v>8</v>
      </c>
      <c r="J1" s="811" t="s">
        <v>1815</v>
      </c>
      <c r="K1" s="812" t="s">
        <v>1816</v>
      </c>
      <c r="L1" s="329" t="s">
        <v>1817</v>
      </c>
      <c r="M1" s="151" t="s">
        <v>12</v>
      </c>
      <c r="N1" s="152" t="s">
        <v>13</v>
      </c>
      <c r="O1" s="152" t="s">
        <v>1818</v>
      </c>
      <c r="P1" s="329" t="s">
        <v>14</v>
      </c>
      <c r="Q1" s="151" t="s">
        <v>15</v>
      </c>
      <c r="R1" s="153" t="s">
        <v>16</v>
      </c>
      <c r="S1" s="329" t="s">
        <v>17</v>
      </c>
      <c r="T1" s="151" t="s">
        <v>18</v>
      </c>
      <c r="U1" s="155" t="s">
        <v>1819</v>
      </c>
      <c r="V1" s="155" t="s">
        <v>20</v>
      </c>
      <c r="W1" s="151" t="s">
        <v>21</v>
      </c>
      <c r="X1" s="893" t="s">
        <v>23</v>
      </c>
      <c r="Y1" s="893" t="s">
        <v>1820</v>
      </c>
    </row>
    <row r="2" spans="1:25" s="62" customFormat="1" ht="25.5">
      <c r="A2" s="12">
        <v>1</v>
      </c>
      <c r="B2" s="867" t="s">
        <v>1821</v>
      </c>
      <c r="C2" s="10" t="s">
        <v>1822</v>
      </c>
      <c r="D2" s="11" t="s">
        <v>440</v>
      </c>
      <c r="E2" s="12" t="s">
        <v>441</v>
      </c>
      <c r="F2" s="10" t="s">
        <v>32</v>
      </c>
      <c r="G2" s="11" t="s">
        <v>1244</v>
      </c>
      <c r="H2" s="10" t="s">
        <v>32</v>
      </c>
      <c r="I2" s="313">
        <v>680</v>
      </c>
      <c r="J2" s="318">
        <v>680</v>
      </c>
      <c r="K2" s="820">
        <v>680</v>
      </c>
      <c r="L2" s="11" t="s">
        <v>1823</v>
      </c>
      <c r="M2" s="12">
        <v>2009</v>
      </c>
      <c r="N2" s="228">
        <v>40036</v>
      </c>
      <c r="O2" s="228">
        <v>41348</v>
      </c>
      <c r="P2" s="206" t="s">
        <v>1824</v>
      </c>
      <c r="Q2" s="10" t="s">
        <v>1825</v>
      </c>
      <c r="R2" s="10"/>
      <c r="S2" s="12" t="s">
        <v>42</v>
      </c>
      <c r="T2" s="11" t="s">
        <v>35</v>
      </c>
      <c r="U2" s="11" t="s">
        <v>35</v>
      </c>
      <c r="V2" s="11" t="s">
        <v>35</v>
      </c>
      <c r="W2" s="11" t="s">
        <v>35</v>
      </c>
      <c r="X2" s="137" t="s">
        <v>112</v>
      </c>
    </row>
    <row r="3" spans="1:25" s="221" customFormat="1" ht="25.5">
      <c r="A3" s="166">
        <v>2</v>
      </c>
      <c r="B3" s="867" t="s">
        <v>1826</v>
      </c>
      <c r="C3" s="53" t="s">
        <v>1827</v>
      </c>
      <c r="D3" s="148" t="s">
        <v>440</v>
      </c>
      <c r="E3" s="166" t="s">
        <v>441</v>
      </c>
      <c r="F3" s="53" t="s">
        <v>32</v>
      </c>
      <c r="G3" s="148" t="s">
        <v>767</v>
      </c>
      <c r="H3" s="53" t="s">
        <v>32</v>
      </c>
      <c r="I3" s="313">
        <v>91.25</v>
      </c>
      <c r="J3" s="318">
        <v>91.25</v>
      </c>
      <c r="K3" s="820">
        <v>91.25</v>
      </c>
      <c r="L3" s="148" t="s">
        <v>1828</v>
      </c>
      <c r="M3" s="166">
        <v>2008</v>
      </c>
      <c r="N3" s="877">
        <v>39835</v>
      </c>
      <c r="O3" s="877">
        <v>41386</v>
      </c>
      <c r="P3" s="206" t="s">
        <v>1829</v>
      </c>
      <c r="Q3" s="53" t="s">
        <v>1825</v>
      </c>
      <c r="R3" s="53"/>
      <c r="S3" s="166" t="s">
        <v>42</v>
      </c>
      <c r="T3" s="148" t="s">
        <v>35</v>
      </c>
      <c r="U3" s="148" t="s">
        <v>35</v>
      </c>
      <c r="V3" s="148" t="s">
        <v>35</v>
      </c>
      <c r="W3" s="148" t="s">
        <v>35</v>
      </c>
      <c r="X3" s="27" t="s">
        <v>112</v>
      </c>
    </row>
    <row r="4" spans="1:25" s="221" customFormat="1" ht="25.5">
      <c r="A4" s="166">
        <v>3</v>
      </c>
      <c r="B4" s="868" t="s">
        <v>1830</v>
      </c>
      <c r="C4" s="53" t="s">
        <v>1831</v>
      </c>
      <c r="D4" s="148" t="s">
        <v>440</v>
      </c>
      <c r="E4" s="166" t="s">
        <v>441</v>
      </c>
      <c r="F4" s="53" t="s">
        <v>321</v>
      </c>
      <c r="G4" s="148" t="s">
        <v>1832</v>
      </c>
      <c r="H4" s="53" t="s">
        <v>518</v>
      </c>
      <c r="I4" s="313">
        <v>71.86</v>
      </c>
      <c r="J4" s="318">
        <v>71.86</v>
      </c>
      <c r="K4" s="820">
        <v>71.86</v>
      </c>
      <c r="L4" s="148" t="s">
        <v>1833</v>
      </c>
      <c r="M4" s="166">
        <v>2008</v>
      </c>
      <c r="N4" s="878">
        <v>39717</v>
      </c>
      <c r="O4" s="878">
        <v>41480</v>
      </c>
      <c r="P4" s="206" t="s">
        <v>1834</v>
      </c>
      <c r="Q4" s="53" t="s">
        <v>1825</v>
      </c>
      <c r="R4" s="53"/>
      <c r="S4" s="166" t="s">
        <v>42</v>
      </c>
      <c r="T4" s="148" t="s">
        <v>35</v>
      </c>
      <c r="U4" s="148" t="s">
        <v>35</v>
      </c>
      <c r="V4" s="148" t="s">
        <v>35</v>
      </c>
      <c r="W4" s="148" t="s">
        <v>35</v>
      </c>
      <c r="X4" s="27" t="s">
        <v>112</v>
      </c>
    </row>
    <row r="5" spans="1:25" s="221" customFormat="1" ht="25.5">
      <c r="A5" s="166">
        <v>4</v>
      </c>
      <c r="B5" s="867" t="s">
        <v>1835</v>
      </c>
      <c r="C5" s="53" t="s">
        <v>1836</v>
      </c>
      <c r="D5" s="148" t="s">
        <v>440</v>
      </c>
      <c r="E5" s="166" t="s">
        <v>441</v>
      </c>
      <c r="F5" s="53" t="s">
        <v>32</v>
      </c>
      <c r="G5" s="148" t="s">
        <v>767</v>
      </c>
      <c r="H5" s="53" t="s">
        <v>32</v>
      </c>
      <c r="I5" s="313">
        <v>244.28</v>
      </c>
      <c r="J5" s="318">
        <v>244.28</v>
      </c>
      <c r="K5" s="820">
        <v>244.28</v>
      </c>
      <c r="L5" s="148" t="s">
        <v>1837</v>
      </c>
      <c r="M5" s="166">
        <v>2008</v>
      </c>
      <c r="N5" s="878">
        <v>39692</v>
      </c>
      <c r="O5" s="878">
        <v>41481</v>
      </c>
      <c r="P5" s="206" t="s">
        <v>1838</v>
      </c>
      <c r="Q5" s="53" t="s">
        <v>1825</v>
      </c>
      <c r="R5" s="53"/>
      <c r="S5" s="166" t="s">
        <v>42</v>
      </c>
      <c r="T5" s="148" t="s">
        <v>35</v>
      </c>
      <c r="U5" s="148" t="s">
        <v>35</v>
      </c>
      <c r="V5" s="148" t="s">
        <v>35</v>
      </c>
      <c r="W5" s="148" t="s">
        <v>35</v>
      </c>
      <c r="X5" s="27" t="s">
        <v>112</v>
      </c>
    </row>
    <row r="6" spans="1:25" s="221" customFormat="1" ht="25.5">
      <c r="A6" s="12">
        <v>5</v>
      </c>
      <c r="B6" s="867" t="s">
        <v>1839</v>
      </c>
      <c r="C6" s="53" t="s">
        <v>1840</v>
      </c>
      <c r="D6" s="148" t="s">
        <v>440</v>
      </c>
      <c r="E6" s="166" t="s">
        <v>441</v>
      </c>
      <c r="F6" s="53" t="s">
        <v>32</v>
      </c>
      <c r="G6" s="148" t="s">
        <v>767</v>
      </c>
      <c r="H6" s="53" t="s">
        <v>32</v>
      </c>
      <c r="I6" s="313">
        <v>24.31</v>
      </c>
      <c r="J6" s="318">
        <v>24.31</v>
      </c>
      <c r="K6" s="820">
        <v>24.31</v>
      </c>
      <c r="L6" s="148" t="s">
        <v>1841</v>
      </c>
      <c r="M6" s="166">
        <v>2008</v>
      </c>
      <c r="N6" s="878">
        <v>39721</v>
      </c>
      <c r="O6" s="878">
        <v>41492</v>
      </c>
      <c r="P6" s="206" t="s">
        <v>1842</v>
      </c>
      <c r="Q6" s="53" t="s">
        <v>1825</v>
      </c>
      <c r="R6" s="53"/>
      <c r="S6" s="166" t="s">
        <v>42</v>
      </c>
      <c r="T6" s="148" t="s">
        <v>35</v>
      </c>
      <c r="U6" s="148" t="s">
        <v>35</v>
      </c>
      <c r="V6" s="148" t="s">
        <v>35</v>
      </c>
      <c r="W6" s="148" t="s">
        <v>35</v>
      </c>
      <c r="X6" s="27" t="s">
        <v>112</v>
      </c>
    </row>
    <row r="7" spans="1:25" ht="33.75">
      <c r="A7" s="166">
        <v>6</v>
      </c>
      <c r="B7" s="869" t="s">
        <v>1843</v>
      </c>
      <c r="C7" s="148" t="s">
        <v>1844</v>
      </c>
      <c r="D7" s="148" t="s">
        <v>135</v>
      </c>
      <c r="E7" s="166" t="s">
        <v>49</v>
      </c>
      <c r="F7" s="148" t="s">
        <v>32</v>
      </c>
      <c r="G7" s="148" t="s">
        <v>940</v>
      </c>
      <c r="H7" s="148" t="s">
        <v>32</v>
      </c>
      <c r="I7" s="313">
        <v>1000</v>
      </c>
      <c r="J7" s="314">
        <v>0</v>
      </c>
      <c r="K7" s="341">
        <v>1000</v>
      </c>
      <c r="L7" s="198" t="s">
        <v>1845</v>
      </c>
      <c r="M7" s="166">
        <v>1997</v>
      </c>
      <c r="N7" s="179" t="s">
        <v>35</v>
      </c>
      <c r="O7" s="179">
        <v>41451</v>
      </c>
      <c r="P7" s="50" t="s">
        <v>136</v>
      </c>
      <c r="Q7" s="53" t="s">
        <v>1846</v>
      </c>
      <c r="R7" s="197"/>
      <c r="S7" s="894" t="s">
        <v>1847</v>
      </c>
      <c r="T7" s="200" t="s">
        <v>39</v>
      </c>
      <c r="U7" s="200" t="s">
        <v>1848</v>
      </c>
      <c r="V7" s="195">
        <v>2004</v>
      </c>
      <c r="W7" s="196" t="s">
        <v>41</v>
      </c>
      <c r="X7" s="27" t="s">
        <v>43</v>
      </c>
    </row>
    <row r="8" spans="1:25" ht="33.75">
      <c r="A8" s="166">
        <v>7</v>
      </c>
      <c r="B8" s="867" t="s">
        <v>1849</v>
      </c>
      <c r="C8" s="148" t="s">
        <v>1850</v>
      </c>
      <c r="D8" s="148" t="s">
        <v>135</v>
      </c>
      <c r="E8" s="166" t="s">
        <v>49</v>
      </c>
      <c r="F8" s="148" t="s">
        <v>210</v>
      </c>
      <c r="G8" s="148" t="s">
        <v>973</v>
      </c>
      <c r="H8" s="148" t="s">
        <v>212</v>
      </c>
      <c r="I8" s="313">
        <v>34</v>
      </c>
      <c r="J8" s="318">
        <v>34</v>
      </c>
      <c r="K8" s="341">
        <v>34</v>
      </c>
      <c r="L8" s="198" t="s">
        <v>1851</v>
      </c>
      <c r="M8" s="166">
        <v>1970</v>
      </c>
      <c r="N8" s="179" t="s">
        <v>35</v>
      </c>
      <c r="O8" s="179">
        <v>41451</v>
      </c>
      <c r="P8" s="52" t="s">
        <v>1852</v>
      </c>
      <c r="Q8" s="53" t="s">
        <v>1846</v>
      </c>
      <c r="R8" s="197"/>
      <c r="S8" s="166" t="s">
        <v>42</v>
      </c>
      <c r="T8" s="148" t="s">
        <v>35</v>
      </c>
      <c r="U8" s="148" t="s">
        <v>35</v>
      </c>
      <c r="V8" s="148" t="s">
        <v>35</v>
      </c>
      <c r="W8" s="148" t="s">
        <v>35</v>
      </c>
      <c r="X8" s="27" t="s">
        <v>112</v>
      </c>
    </row>
    <row r="9" spans="1:25" s="221" customFormat="1" ht="25.5">
      <c r="A9" s="166">
        <v>8</v>
      </c>
      <c r="B9" s="867" t="s">
        <v>1853</v>
      </c>
      <c r="C9" s="148" t="s">
        <v>1854</v>
      </c>
      <c r="D9" s="148" t="s">
        <v>440</v>
      </c>
      <c r="E9" s="166" t="s">
        <v>441</v>
      </c>
      <c r="F9" s="53" t="s">
        <v>155</v>
      </c>
      <c r="G9" s="148" t="s">
        <v>374</v>
      </c>
      <c r="H9" s="148" t="s">
        <v>197</v>
      </c>
      <c r="I9" s="313">
        <v>175.65</v>
      </c>
      <c r="J9" s="318">
        <v>175.65</v>
      </c>
      <c r="K9" s="341">
        <v>175.65</v>
      </c>
      <c r="L9" s="148" t="s">
        <v>1855</v>
      </c>
      <c r="M9" s="166">
        <v>2004</v>
      </c>
      <c r="N9" s="879">
        <v>38195</v>
      </c>
      <c r="O9" s="879">
        <v>41821</v>
      </c>
      <c r="P9" s="206" t="s">
        <v>1856</v>
      </c>
      <c r="Q9" s="53" t="s">
        <v>1825</v>
      </c>
      <c r="R9" s="53"/>
      <c r="S9" s="894" t="s">
        <v>1847</v>
      </c>
      <c r="T9" s="200" t="s">
        <v>39</v>
      </c>
      <c r="U9" s="200" t="s">
        <v>1857</v>
      </c>
      <c r="V9" s="200">
        <v>2007</v>
      </c>
      <c r="W9" s="200" t="s">
        <v>77</v>
      </c>
      <c r="X9" s="27" t="s">
        <v>112</v>
      </c>
    </row>
    <row r="10" spans="1:25" s="221" customFormat="1" ht="45">
      <c r="A10" s="12">
        <v>9</v>
      </c>
      <c r="B10" s="869" t="s">
        <v>1858</v>
      </c>
      <c r="C10" s="148" t="s">
        <v>1859</v>
      </c>
      <c r="D10" s="148" t="s">
        <v>227</v>
      </c>
      <c r="E10" s="148" t="s">
        <v>228</v>
      </c>
      <c r="F10" s="53" t="s">
        <v>155</v>
      </c>
      <c r="G10" s="198" t="s">
        <v>1860</v>
      </c>
      <c r="H10" s="148" t="s">
        <v>490</v>
      </c>
      <c r="I10" s="313">
        <v>10056</v>
      </c>
      <c r="J10" s="340">
        <v>0</v>
      </c>
      <c r="K10" s="341">
        <v>10056</v>
      </c>
      <c r="L10" s="198" t="s">
        <v>1861</v>
      </c>
      <c r="M10" s="166">
        <v>1956</v>
      </c>
      <c r="N10" s="179" t="s">
        <v>35</v>
      </c>
      <c r="O10" s="179">
        <v>41751</v>
      </c>
      <c r="P10" s="54" t="s">
        <v>73</v>
      </c>
      <c r="Q10" s="53" t="s">
        <v>1846</v>
      </c>
      <c r="R10" s="197"/>
      <c r="S10" s="166" t="s">
        <v>42</v>
      </c>
      <c r="T10" s="148" t="s">
        <v>35</v>
      </c>
      <c r="U10" s="148" t="s">
        <v>35</v>
      </c>
      <c r="V10" s="148" t="s">
        <v>35</v>
      </c>
      <c r="W10" s="148" t="s">
        <v>35</v>
      </c>
      <c r="X10" s="27" t="s">
        <v>493</v>
      </c>
    </row>
    <row r="11" spans="1:25" s="221" customFormat="1" ht="33.75">
      <c r="A11" s="166">
        <v>10</v>
      </c>
      <c r="B11" s="867" t="s">
        <v>1862</v>
      </c>
      <c r="C11" s="148" t="s">
        <v>1863</v>
      </c>
      <c r="D11" s="148" t="s">
        <v>227</v>
      </c>
      <c r="E11" s="148" t="s">
        <v>228</v>
      </c>
      <c r="F11" s="53" t="s">
        <v>164</v>
      </c>
      <c r="G11" s="198" t="s">
        <v>1864</v>
      </c>
      <c r="H11" s="148" t="s">
        <v>222</v>
      </c>
      <c r="I11" s="313">
        <v>704</v>
      </c>
      <c r="J11" s="318">
        <v>704</v>
      </c>
      <c r="K11" s="341">
        <v>704</v>
      </c>
      <c r="L11" s="198" t="s">
        <v>1861</v>
      </c>
      <c r="M11" s="166">
        <v>1956</v>
      </c>
      <c r="N11" s="179" t="s">
        <v>35</v>
      </c>
      <c r="O11" s="179">
        <v>41751</v>
      </c>
      <c r="P11" s="54" t="s">
        <v>73</v>
      </c>
      <c r="Q11" s="53" t="s">
        <v>1846</v>
      </c>
      <c r="R11" s="197"/>
      <c r="S11" s="166" t="s">
        <v>42</v>
      </c>
      <c r="T11" s="148" t="s">
        <v>35</v>
      </c>
      <c r="U11" s="148" t="s">
        <v>35</v>
      </c>
      <c r="V11" s="148" t="s">
        <v>35</v>
      </c>
      <c r="W11" s="148" t="s">
        <v>35</v>
      </c>
      <c r="X11" s="27" t="s">
        <v>112</v>
      </c>
    </row>
    <row r="12" spans="1:25" s="221" customFormat="1" ht="33.75">
      <c r="A12" s="166">
        <v>11</v>
      </c>
      <c r="B12" s="869" t="s">
        <v>1865</v>
      </c>
      <c r="C12" s="148" t="s">
        <v>1866</v>
      </c>
      <c r="D12" s="148" t="s">
        <v>227</v>
      </c>
      <c r="E12" s="148" t="s">
        <v>228</v>
      </c>
      <c r="F12" s="148" t="s">
        <v>188</v>
      </c>
      <c r="G12" s="198" t="s">
        <v>1867</v>
      </c>
      <c r="H12" s="148" t="s">
        <v>262</v>
      </c>
      <c r="I12" s="313">
        <v>344</v>
      </c>
      <c r="J12" s="340">
        <v>0</v>
      </c>
      <c r="K12" s="341">
        <v>344</v>
      </c>
      <c r="L12" s="198" t="s">
        <v>1861</v>
      </c>
      <c r="M12" s="166">
        <v>1956</v>
      </c>
      <c r="N12" s="179" t="s">
        <v>35</v>
      </c>
      <c r="O12" s="179">
        <v>41751</v>
      </c>
      <c r="P12" s="54" t="s">
        <v>73</v>
      </c>
      <c r="Q12" s="53" t="s">
        <v>1846</v>
      </c>
      <c r="R12" s="197"/>
      <c r="S12" s="166" t="s">
        <v>42</v>
      </c>
      <c r="T12" s="148" t="s">
        <v>35</v>
      </c>
      <c r="U12" s="148" t="s">
        <v>35</v>
      </c>
      <c r="V12" s="148" t="s">
        <v>35</v>
      </c>
      <c r="W12" s="148" t="s">
        <v>35</v>
      </c>
      <c r="X12" s="27" t="s">
        <v>1868</v>
      </c>
    </row>
    <row r="13" spans="1:25" s="221" customFormat="1" ht="45">
      <c r="A13" s="166">
        <v>12</v>
      </c>
      <c r="B13" s="870" t="s">
        <v>327</v>
      </c>
      <c r="C13" s="148" t="s">
        <v>1869</v>
      </c>
      <c r="D13" s="148" t="s">
        <v>227</v>
      </c>
      <c r="E13" s="148" t="s">
        <v>228</v>
      </c>
      <c r="F13" s="148" t="s">
        <v>172</v>
      </c>
      <c r="G13" s="198" t="s">
        <v>1870</v>
      </c>
      <c r="H13" s="148" t="s">
        <v>421</v>
      </c>
      <c r="I13" s="313">
        <v>1072</v>
      </c>
      <c r="J13" s="318">
        <v>1072</v>
      </c>
      <c r="K13" s="341">
        <v>1072</v>
      </c>
      <c r="L13" s="198" t="s">
        <v>1861</v>
      </c>
      <c r="M13" s="166">
        <v>1956</v>
      </c>
      <c r="N13" s="179" t="s">
        <v>35</v>
      </c>
      <c r="O13" s="179">
        <v>41751</v>
      </c>
      <c r="P13" s="54" t="s">
        <v>73</v>
      </c>
      <c r="Q13" s="53" t="s">
        <v>1846</v>
      </c>
      <c r="R13" s="197"/>
      <c r="S13" s="166" t="s">
        <v>42</v>
      </c>
      <c r="T13" s="148" t="s">
        <v>35</v>
      </c>
      <c r="U13" s="148" t="s">
        <v>35</v>
      </c>
      <c r="V13" s="148" t="s">
        <v>35</v>
      </c>
      <c r="W13" s="148" t="s">
        <v>35</v>
      </c>
      <c r="X13" s="27" t="s">
        <v>112</v>
      </c>
    </row>
    <row r="14" spans="1:25" s="221" customFormat="1" ht="33.75">
      <c r="A14" s="12">
        <v>13</v>
      </c>
      <c r="B14" s="869" t="s">
        <v>1871</v>
      </c>
      <c r="C14" s="148" t="s">
        <v>1872</v>
      </c>
      <c r="D14" s="148" t="s">
        <v>227</v>
      </c>
      <c r="E14" s="148" t="s">
        <v>228</v>
      </c>
      <c r="F14" s="53" t="s">
        <v>164</v>
      </c>
      <c r="G14" s="198" t="s">
        <v>1401</v>
      </c>
      <c r="H14" s="148" t="s">
        <v>348</v>
      </c>
      <c r="I14" s="313">
        <v>120</v>
      </c>
      <c r="J14" s="318">
        <v>120</v>
      </c>
      <c r="K14" s="341">
        <v>120</v>
      </c>
      <c r="L14" s="198" t="s">
        <v>1861</v>
      </c>
      <c r="M14" s="166">
        <v>1956</v>
      </c>
      <c r="N14" s="179" t="s">
        <v>35</v>
      </c>
      <c r="O14" s="179">
        <v>41751</v>
      </c>
      <c r="P14" s="54" t="s">
        <v>73</v>
      </c>
      <c r="Q14" s="53" t="s">
        <v>1846</v>
      </c>
      <c r="R14" s="197"/>
      <c r="S14" s="166" t="s">
        <v>42</v>
      </c>
      <c r="T14" s="148" t="s">
        <v>35</v>
      </c>
      <c r="U14" s="148" t="s">
        <v>35</v>
      </c>
      <c r="V14" s="148" t="s">
        <v>35</v>
      </c>
      <c r="W14" s="148" t="s">
        <v>35</v>
      </c>
      <c r="X14" s="27" t="s">
        <v>112</v>
      </c>
    </row>
    <row r="15" spans="1:25" s="221" customFormat="1" ht="33.75">
      <c r="A15" s="166">
        <v>14</v>
      </c>
      <c r="B15" s="867" t="s">
        <v>1873</v>
      </c>
      <c r="C15" s="148" t="s">
        <v>1874</v>
      </c>
      <c r="D15" s="148" t="s">
        <v>227</v>
      </c>
      <c r="E15" s="148" t="s">
        <v>228</v>
      </c>
      <c r="F15" s="53" t="s">
        <v>155</v>
      </c>
      <c r="G15" s="198" t="s">
        <v>1875</v>
      </c>
      <c r="H15" s="148" t="s">
        <v>490</v>
      </c>
      <c r="I15" s="313">
        <v>3828</v>
      </c>
      <c r="J15" s="340">
        <v>0</v>
      </c>
      <c r="K15" s="341">
        <v>3828</v>
      </c>
      <c r="L15" s="198" t="s">
        <v>1861</v>
      </c>
      <c r="M15" s="166">
        <v>1956</v>
      </c>
      <c r="N15" s="179" t="s">
        <v>35</v>
      </c>
      <c r="O15" s="179">
        <v>41751</v>
      </c>
      <c r="P15" s="54" t="s">
        <v>73</v>
      </c>
      <c r="Q15" s="53" t="s">
        <v>1846</v>
      </c>
      <c r="R15" s="197"/>
      <c r="S15" s="166" t="s">
        <v>42</v>
      </c>
      <c r="T15" s="148" t="s">
        <v>35</v>
      </c>
      <c r="U15" s="148" t="s">
        <v>35</v>
      </c>
      <c r="V15" s="148" t="s">
        <v>35</v>
      </c>
      <c r="W15" s="148" t="s">
        <v>35</v>
      </c>
      <c r="X15" s="27" t="s">
        <v>493</v>
      </c>
    </row>
    <row r="16" spans="1:25" s="221" customFormat="1" ht="45">
      <c r="A16" s="166">
        <v>15</v>
      </c>
      <c r="B16" s="867" t="s">
        <v>1876</v>
      </c>
      <c r="C16" s="148" t="s">
        <v>1877</v>
      </c>
      <c r="D16" s="148" t="s">
        <v>227</v>
      </c>
      <c r="E16" s="148" t="s">
        <v>228</v>
      </c>
      <c r="F16" s="53" t="s">
        <v>155</v>
      </c>
      <c r="G16" s="198" t="s">
        <v>1878</v>
      </c>
      <c r="H16" s="148" t="s">
        <v>490</v>
      </c>
      <c r="I16" s="313">
        <v>4848</v>
      </c>
      <c r="J16" s="340">
        <v>0</v>
      </c>
      <c r="K16" s="341">
        <v>4848</v>
      </c>
      <c r="L16" s="198" t="s">
        <v>1861</v>
      </c>
      <c r="M16" s="166">
        <v>1956</v>
      </c>
      <c r="N16" s="179" t="s">
        <v>35</v>
      </c>
      <c r="O16" s="179">
        <v>41751</v>
      </c>
      <c r="P16" s="54" t="s">
        <v>73</v>
      </c>
      <c r="Q16" s="53" t="s">
        <v>1846</v>
      </c>
      <c r="R16" s="197"/>
      <c r="S16" s="166" t="s">
        <v>42</v>
      </c>
      <c r="T16" s="148" t="s">
        <v>35</v>
      </c>
      <c r="U16" s="148" t="s">
        <v>35</v>
      </c>
      <c r="V16" s="148" t="s">
        <v>35</v>
      </c>
      <c r="W16" s="148" t="s">
        <v>35</v>
      </c>
      <c r="X16" s="27" t="s">
        <v>493</v>
      </c>
    </row>
    <row r="17" spans="1:29" s="221" customFormat="1" ht="38.25">
      <c r="A17" s="166">
        <v>16</v>
      </c>
      <c r="B17" s="867" t="s">
        <v>1879</v>
      </c>
      <c r="C17" s="148" t="s">
        <v>1880</v>
      </c>
      <c r="D17" s="148" t="s">
        <v>30</v>
      </c>
      <c r="E17" s="166" t="s">
        <v>31</v>
      </c>
      <c r="F17" s="148" t="s">
        <v>180</v>
      </c>
      <c r="G17" s="148" t="s">
        <v>1881</v>
      </c>
      <c r="H17" s="148" t="s">
        <v>182</v>
      </c>
      <c r="I17" s="313">
        <v>54</v>
      </c>
      <c r="J17" s="318">
        <v>54</v>
      </c>
      <c r="K17" s="341">
        <v>54</v>
      </c>
      <c r="L17" s="148" t="s">
        <v>1882</v>
      </c>
      <c r="M17" s="166">
        <v>1976</v>
      </c>
      <c r="N17" s="179" t="s">
        <v>35</v>
      </c>
      <c r="O17" s="179">
        <v>41762</v>
      </c>
      <c r="P17" s="52" t="s">
        <v>191</v>
      </c>
      <c r="Q17" s="53" t="s">
        <v>1846</v>
      </c>
      <c r="R17" s="197"/>
      <c r="S17" s="166" t="s">
        <v>42</v>
      </c>
      <c r="T17" s="148" t="s">
        <v>35</v>
      </c>
      <c r="U17" s="148" t="s">
        <v>35</v>
      </c>
      <c r="V17" s="148" t="s">
        <v>35</v>
      </c>
      <c r="W17" s="148" t="s">
        <v>35</v>
      </c>
      <c r="X17" s="27" t="s">
        <v>112</v>
      </c>
    </row>
    <row r="18" spans="1:29" s="221" customFormat="1" ht="25.5">
      <c r="A18" s="12">
        <v>17</v>
      </c>
      <c r="B18" s="871" t="s">
        <v>1883</v>
      </c>
      <c r="C18" s="872" t="s">
        <v>1884</v>
      </c>
      <c r="D18" s="873" t="s">
        <v>440</v>
      </c>
      <c r="E18" s="874" t="s">
        <v>441</v>
      </c>
      <c r="F18" s="872" t="s">
        <v>32</v>
      </c>
      <c r="G18" s="873" t="s">
        <v>767</v>
      </c>
      <c r="H18" s="872" t="s">
        <v>32</v>
      </c>
      <c r="I18" s="880">
        <v>155.37</v>
      </c>
      <c r="J18" s="881">
        <v>155.37</v>
      </c>
      <c r="K18" s="882">
        <v>155.37</v>
      </c>
      <c r="L18" s="873" t="s">
        <v>1885</v>
      </c>
      <c r="M18" s="874">
        <v>2008</v>
      </c>
      <c r="N18" s="883">
        <v>39720</v>
      </c>
      <c r="O18" s="872">
        <v>2016</v>
      </c>
      <c r="P18" s="884" t="s">
        <v>1886</v>
      </c>
      <c r="Q18" s="872" t="s">
        <v>1825</v>
      </c>
      <c r="R18" s="895"/>
      <c r="S18" s="895" t="s">
        <v>35</v>
      </c>
      <c r="T18" s="873" t="s">
        <v>35</v>
      </c>
      <c r="U18" s="873" t="s">
        <v>35</v>
      </c>
      <c r="V18" s="873" t="s">
        <v>35</v>
      </c>
      <c r="W18" s="896" t="s">
        <v>112</v>
      </c>
      <c r="X18" s="27"/>
    </row>
    <row r="19" spans="1:29" s="221" customFormat="1" ht="25.5">
      <c r="A19" s="166">
        <v>18</v>
      </c>
      <c r="B19" s="875" t="s">
        <v>621</v>
      </c>
      <c r="C19" s="876" t="s">
        <v>622</v>
      </c>
      <c r="D19" s="148" t="s">
        <v>440</v>
      </c>
      <c r="E19" s="166" t="s">
        <v>441</v>
      </c>
      <c r="F19" s="53" t="s">
        <v>155</v>
      </c>
      <c r="G19" s="148" t="s">
        <v>623</v>
      </c>
      <c r="H19" s="148" t="s">
        <v>197</v>
      </c>
      <c r="I19" s="885">
        <v>74.2</v>
      </c>
      <c r="J19" s="318">
        <v>74.2</v>
      </c>
      <c r="K19" s="820">
        <v>74.2</v>
      </c>
      <c r="L19" s="148" t="s">
        <v>624</v>
      </c>
      <c r="M19" s="166">
        <v>2001</v>
      </c>
      <c r="N19" s="879">
        <v>37089</v>
      </c>
      <c r="O19" s="53">
        <v>2016</v>
      </c>
      <c r="P19" s="206" t="s">
        <v>1887</v>
      </c>
      <c r="Q19" s="53" t="s">
        <v>1825</v>
      </c>
      <c r="R19" s="198"/>
      <c r="S19" s="198" t="s">
        <v>42</v>
      </c>
      <c r="T19" s="148"/>
      <c r="U19" s="148"/>
      <c r="V19" s="148"/>
      <c r="W19" s="27"/>
      <c r="X19" s="27"/>
    </row>
    <row r="20" spans="1:29" s="221" customFormat="1" ht="25.5">
      <c r="A20" s="166">
        <v>19</v>
      </c>
      <c r="B20" s="867" t="s">
        <v>1888</v>
      </c>
      <c r="C20" s="10" t="s">
        <v>1889</v>
      </c>
      <c r="D20" s="148" t="s">
        <v>440</v>
      </c>
      <c r="E20" s="166" t="s">
        <v>441</v>
      </c>
      <c r="F20" s="53" t="s">
        <v>155</v>
      </c>
      <c r="G20" s="148" t="s">
        <v>1890</v>
      </c>
      <c r="H20" s="53" t="s">
        <v>197</v>
      </c>
      <c r="I20" s="316">
        <v>629.41869999999994</v>
      </c>
      <c r="J20" s="317">
        <v>629.41869999999994</v>
      </c>
      <c r="K20" s="886">
        <v>629.41869999999994</v>
      </c>
      <c r="L20" s="148" t="s">
        <v>1891</v>
      </c>
      <c r="M20" s="166">
        <v>2010</v>
      </c>
      <c r="N20" s="887">
        <v>40464</v>
      </c>
      <c r="O20" s="10">
        <v>2016</v>
      </c>
      <c r="P20" s="206" t="s">
        <v>1892</v>
      </c>
      <c r="Q20" s="53" t="s">
        <v>1825</v>
      </c>
      <c r="R20" s="53"/>
      <c r="S20" s="190" t="s">
        <v>38</v>
      </c>
      <c r="T20" s="201" t="s">
        <v>100</v>
      </c>
      <c r="U20" s="897" t="s">
        <v>1893</v>
      </c>
      <c r="V20" s="195">
        <v>2012</v>
      </c>
      <c r="W20" s="196" t="s">
        <v>1894</v>
      </c>
      <c r="X20" s="27" t="s">
        <v>112</v>
      </c>
    </row>
    <row r="21" spans="1:29" s="221" customFormat="1" ht="33.75">
      <c r="A21" s="166">
        <v>20</v>
      </c>
      <c r="B21" s="867" t="s">
        <v>1895</v>
      </c>
      <c r="C21" s="148" t="s">
        <v>1896</v>
      </c>
      <c r="D21" s="53" t="s">
        <v>440</v>
      </c>
      <c r="E21" s="148" t="s">
        <v>441</v>
      </c>
      <c r="F21" s="53" t="s">
        <v>535</v>
      </c>
      <c r="G21" s="148" t="s">
        <v>1897</v>
      </c>
      <c r="H21" s="148" t="s">
        <v>537</v>
      </c>
      <c r="I21" s="313">
        <v>2000</v>
      </c>
      <c r="J21" s="318">
        <v>2000</v>
      </c>
      <c r="K21" s="341">
        <v>2000</v>
      </c>
      <c r="L21" s="148" t="s">
        <v>1898</v>
      </c>
      <c r="M21" s="166">
        <v>2007</v>
      </c>
      <c r="N21" s="879">
        <v>39160</v>
      </c>
      <c r="O21" s="166">
        <v>2017</v>
      </c>
      <c r="P21" s="206" t="s">
        <v>1899</v>
      </c>
      <c r="Q21" s="27" t="s">
        <v>37</v>
      </c>
      <c r="R21" s="898"/>
      <c r="S21" s="198" t="s">
        <v>89</v>
      </c>
      <c r="T21" s="198" t="s">
        <v>35</v>
      </c>
      <c r="U21" s="148" t="s">
        <v>35</v>
      </c>
      <c r="V21" s="148" t="s">
        <v>35</v>
      </c>
      <c r="W21" s="148" t="s">
        <v>35</v>
      </c>
      <c r="X21" s="204" t="s">
        <v>66</v>
      </c>
      <c r="Y21" s="232"/>
      <c r="Z21" s="235"/>
    </row>
    <row r="22" spans="1:29" s="221" customFormat="1" ht="25.5">
      <c r="A22" s="12">
        <v>21</v>
      </c>
      <c r="B22" s="47" t="s">
        <v>1900</v>
      </c>
      <c r="C22" s="53" t="s">
        <v>1901</v>
      </c>
      <c r="D22" s="148" t="s">
        <v>440</v>
      </c>
      <c r="E22" s="166" t="s">
        <v>441</v>
      </c>
      <c r="F22" s="53" t="s">
        <v>164</v>
      </c>
      <c r="G22" s="148" t="s">
        <v>1378</v>
      </c>
      <c r="H22" s="53" t="s">
        <v>348</v>
      </c>
      <c r="I22" s="888">
        <v>14.9</v>
      </c>
      <c r="J22" s="889">
        <v>14.9</v>
      </c>
      <c r="K22" s="890">
        <v>14.9</v>
      </c>
      <c r="L22" s="148" t="s">
        <v>1902</v>
      </c>
      <c r="M22" s="166">
        <v>2012</v>
      </c>
      <c r="N22" s="887">
        <v>41029</v>
      </c>
      <c r="O22" s="221">
        <v>2018</v>
      </c>
      <c r="P22" s="891" t="s">
        <v>1903</v>
      </c>
      <c r="Q22" s="232" t="s">
        <v>1825</v>
      </c>
      <c r="R22" s="899"/>
      <c r="S22" s="198" t="s">
        <v>89</v>
      </c>
      <c r="T22" s="198" t="s">
        <v>35</v>
      </c>
      <c r="U22" s="148" t="s">
        <v>35</v>
      </c>
      <c r="V22" s="27" t="s">
        <v>112</v>
      </c>
      <c r="W22" s="27" t="s">
        <v>112</v>
      </c>
      <c r="X22" s="27" t="s">
        <v>112</v>
      </c>
      <c r="Y22" s="232" t="s">
        <v>1904</v>
      </c>
      <c r="Z22" s="235"/>
    </row>
    <row r="23" spans="1:29" s="221" customFormat="1" ht="33.75">
      <c r="A23" s="166">
        <v>22</v>
      </c>
      <c r="B23" s="45" t="s">
        <v>1905</v>
      </c>
      <c r="C23" s="148" t="s">
        <v>1906</v>
      </c>
      <c r="D23" s="148" t="s">
        <v>440</v>
      </c>
      <c r="E23" s="166" t="s">
        <v>441</v>
      </c>
      <c r="F23" s="148" t="s">
        <v>180</v>
      </c>
      <c r="G23" s="148" t="s">
        <v>603</v>
      </c>
      <c r="H23" s="148" t="s">
        <v>394</v>
      </c>
      <c r="I23" s="313">
        <v>1083</v>
      </c>
      <c r="J23" s="318">
        <v>1083</v>
      </c>
      <c r="K23" s="341">
        <v>1083</v>
      </c>
      <c r="L23" s="148" t="s">
        <v>1907</v>
      </c>
      <c r="M23" s="166">
        <v>2001</v>
      </c>
      <c r="N23" s="879">
        <v>37229</v>
      </c>
      <c r="O23" s="221">
        <v>2001</v>
      </c>
      <c r="P23" s="206" t="s">
        <v>1908</v>
      </c>
      <c r="Q23" s="27" t="s">
        <v>37</v>
      </c>
      <c r="R23" s="53"/>
      <c r="S23" s="198" t="s">
        <v>89</v>
      </c>
      <c r="T23" s="198" t="s">
        <v>35</v>
      </c>
      <c r="U23" s="148" t="s">
        <v>35</v>
      </c>
      <c r="V23" s="148" t="s">
        <v>35</v>
      </c>
      <c r="W23" s="148" t="s">
        <v>35</v>
      </c>
      <c r="X23" s="27" t="s">
        <v>112</v>
      </c>
      <c r="Y23" s="27" t="s">
        <v>1909</v>
      </c>
      <c r="Z23" s="27"/>
    </row>
    <row r="24" spans="1:29" s="221" customFormat="1" ht="51">
      <c r="A24" s="12">
        <v>208</v>
      </c>
      <c r="B24" s="69" t="s">
        <v>1910</v>
      </c>
      <c r="C24" s="11" t="s">
        <v>1911</v>
      </c>
      <c r="D24" s="11" t="s">
        <v>496</v>
      </c>
      <c r="E24" s="11" t="s">
        <v>497</v>
      </c>
      <c r="F24" s="11" t="s">
        <v>32</v>
      </c>
      <c r="G24" s="11" t="s">
        <v>72</v>
      </c>
      <c r="H24" s="11" t="s">
        <v>32</v>
      </c>
      <c r="I24" s="313">
        <v>43.6</v>
      </c>
      <c r="J24" s="318">
        <v>43.6</v>
      </c>
      <c r="K24" s="341">
        <v>43.6</v>
      </c>
      <c r="L24" s="148" t="s">
        <v>1912</v>
      </c>
      <c r="M24" s="166">
        <v>2007</v>
      </c>
      <c r="N24" s="877">
        <v>39322</v>
      </c>
      <c r="O24" s="53" t="s">
        <v>1116</v>
      </c>
      <c r="P24" s="27" t="s">
        <v>37</v>
      </c>
      <c r="Q24" s="53"/>
      <c r="R24" s="190" t="s">
        <v>38</v>
      </c>
      <c r="S24" s="194" t="s">
        <v>39</v>
      </c>
      <c r="T24" s="195" t="s">
        <v>1117</v>
      </c>
      <c r="U24" s="195">
        <v>2010</v>
      </c>
      <c r="V24" s="196" t="s">
        <v>513</v>
      </c>
      <c r="W24" s="66" t="s">
        <v>66</v>
      </c>
      <c r="X24" s="27" t="s">
        <v>112</v>
      </c>
      <c r="Y24" s="27">
        <v>5396</v>
      </c>
      <c r="Z24" s="148" t="s">
        <v>1912</v>
      </c>
      <c r="AA24" s="239" t="s">
        <v>1117</v>
      </c>
      <c r="AB24" s="900" t="s">
        <v>1118</v>
      </c>
    </row>
    <row r="25" spans="1:29" s="221" customFormat="1" ht="33.75">
      <c r="A25" s="166">
        <v>210</v>
      </c>
      <c r="B25" s="45" t="s">
        <v>1123</v>
      </c>
      <c r="C25" s="148" t="s">
        <v>1124</v>
      </c>
      <c r="D25" s="53" t="s">
        <v>440</v>
      </c>
      <c r="E25" s="148" t="s">
        <v>441</v>
      </c>
      <c r="F25" s="53" t="s">
        <v>535</v>
      </c>
      <c r="G25" s="148" t="s">
        <v>1125</v>
      </c>
      <c r="H25" s="148" t="s">
        <v>537</v>
      </c>
      <c r="I25" s="313">
        <v>23.88</v>
      </c>
      <c r="J25" s="318">
        <v>23.88</v>
      </c>
      <c r="K25" s="341">
        <v>23.88</v>
      </c>
      <c r="L25" s="148" t="s">
        <v>1126</v>
      </c>
      <c r="M25" s="166">
        <v>2007</v>
      </c>
      <c r="N25" s="877">
        <v>39339</v>
      </c>
      <c r="O25" s="206">
        <v>2020</v>
      </c>
      <c r="P25" s="206" t="s">
        <v>1127</v>
      </c>
      <c r="Q25" s="27" t="s">
        <v>37</v>
      </c>
      <c r="R25" s="221" t="s">
        <v>2703</v>
      </c>
      <c r="S25" s="198" t="s">
        <v>89</v>
      </c>
      <c r="T25" s="198" t="s">
        <v>35</v>
      </c>
      <c r="U25" s="148" t="s">
        <v>35</v>
      </c>
      <c r="V25" s="148" t="s">
        <v>35</v>
      </c>
      <c r="W25" s="148" t="s">
        <v>35</v>
      </c>
      <c r="X25" s="204" t="s">
        <v>112</v>
      </c>
      <c r="Y25" s="148" t="s">
        <v>2704</v>
      </c>
      <c r="Z25" s="27"/>
      <c r="AB25" s="166"/>
      <c r="AC25" s="166"/>
    </row>
    <row r="26" spans="1:29" ht="15.75">
      <c r="I26" s="892">
        <f>I2+I3+I4+I5+I6+I7+I8+I9+I10+I11+I12+I13+I14+I15+I16+I17+I18+I19+I20+I21+I22+I23+I25</f>
        <v>27328.118699999999</v>
      </c>
      <c r="J26" s="892">
        <f>J2+J3+J4+J5+J6+J7+J8+J9+J10+J11+J12+J13+J14+J15+J16+J17+J18+J19+J20+J21+J22+J23+J25</f>
        <v>7252.1187</v>
      </c>
      <c r="K26" s="892">
        <f>K2+K3+K4+K5+K6+K7+K8+K9+K10+K11+K12+K13+K14+K15+K16+K17+K18+K19+K20+K21+K22+K23+K25</f>
        <v>27328.118699999999</v>
      </c>
    </row>
    <row r="28" spans="1:29">
      <c r="B28" t="s">
        <v>1913</v>
      </c>
    </row>
    <row r="29" spans="1:29">
      <c r="B29" t="s">
        <v>1914</v>
      </c>
    </row>
    <row r="30" spans="1:29">
      <c r="B30" t="s">
        <v>1915</v>
      </c>
    </row>
  </sheetData>
  <autoFilter ref="B1:X26" xr:uid="{00000000-0009-0000-0000-000001000000}"/>
  <pageMargins left="0.69930555555555596" right="0.69930555555555596" top="0.75" bottom="0.75" header="0.3" footer="0.3"/>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5:E8"/>
  <sheetViews>
    <sheetView topLeftCell="A4" workbookViewId="0">
      <selection activeCell="I11" sqref="I11"/>
    </sheetView>
  </sheetViews>
  <sheetFormatPr baseColWidth="10" defaultColWidth="9" defaultRowHeight="15"/>
  <cols>
    <col min="2" max="2" width="16.5703125" customWidth="1"/>
  </cols>
  <sheetData>
    <row r="5" spans="2:5">
      <c r="B5" s="383" t="s">
        <v>2320</v>
      </c>
      <c r="C5" s="384">
        <v>13</v>
      </c>
      <c r="D5" s="384">
        <v>20</v>
      </c>
      <c r="E5" s="25">
        <v>15</v>
      </c>
    </row>
    <row r="6" spans="2:5">
      <c r="B6" s="385" t="s">
        <v>2321</v>
      </c>
      <c r="C6" s="386">
        <v>14</v>
      </c>
      <c r="D6" s="386">
        <v>35</v>
      </c>
      <c r="E6" s="30">
        <v>30</v>
      </c>
    </row>
    <row r="7" spans="2:5">
      <c r="B7" s="385" t="s">
        <v>2322</v>
      </c>
      <c r="C7" s="386">
        <v>12</v>
      </c>
      <c r="D7" s="386">
        <v>15</v>
      </c>
      <c r="E7" s="30">
        <v>15</v>
      </c>
    </row>
    <row r="8" spans="2:5">
      <c r="B8" s="387" t="s">
        <v>2323</v>
      </c>
      <c r="C8" s="114">
        <v>61</v>
      </c>
      <c r="D8" s="114">
        <v>35</v>
      </c>
      <c r="E8" s="36">
        <v>40</v>
      </c>
    </row>
  </sheetData>
  <pageMargins left="0.69930555555555596" right="0.69930555555555596"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M20"/>
  <sheetViews>
    <sheetView topLeftCell="A10" workbookViewId="0">
      <selection activeCell="E15" sqref="E15"/>
    </sheetView>
  </sheetViews>
  <sheetFormatPr baseColWidth="10" defaultColWidth="9" defaultRowHeight="15"/>
  <sheetData>
    <row r="2" spans="2:13">
      <c r="B2" s="372" t="s">
        <v>2324</v>
      </c>
    </row>
    <row r="3" spans="2:13" ht="60">
      <c r="C3" s="1200" t="s">
        <v>2248</v>
      </c>
      <c r="D3" s="1196" t="s">
        <v>2325</v>
      </c>
      <c r="E3" s="1197"/>
      <c r="F3" s="1196" t="s">
        <v>2326</v>
      </c>
      <c r="G3" s="1197"/>
      <c r="H3" s="1196" t="s">
        <v>2327</v>
      </c>
      <c r="I3" s="1197"/>
      <c r="J3" s="1196" t="s">
        <v>2328</v>
      </c>
      <c r="K3" s="1197"/>
      <c r="L3" s="1200" t="s">
        <v>2329</v>
      </c>
      <c r="M3" s="381" t="s">
        <v>2330</v>
      </c>
    </row>
    <row r="4" spans="2:13" ht="30">
      <c r="C4" s="1201"/>
      <c r="D4" s="374" t="s">
        <v>0</v>
      </c>
      <c r="E4" s="374" t="s">
        <v>2331</v>
      </c>
      <c r="F4" s="374" t="s">
        <v>0</v>
      </c>
      <c r="G4" s="374" t="s">
        <v>2331</v>
      </c>
      <c r="H4" s="374" t="s">
        <v>0</v>
      </c>
      <c r="I4" s="374" t="s">
        <v>2331</v>
      </c>
      <c r="J4" s="374" t="s">
        <v>0</v>
      </c>
      <c r="K4" s="374" t="s">
        <v>2331</v>
      </c>
      <c r="L4" s="1201"/>
      <c r="M4" s="382" t="s">
        <v>2332</v>
      </c>
    </row>
    <row r="5" spans="2:13">
      <c r="C5" s="375">
        <v>2011</v>
      </c>
      <c r="D5" s="376">
        <v>38</v>
      </c>
      <c r="E5" s="376">
        <v>1480.95</v>
      </c>
      <c r="F5" s="376">
        <v>73</v>
      </c>
      <c r="G5" s="376">
        <v>5599.45</v>
      </c>
      <c r="H5" s="376">
        <v>5</v>
      </c>
      <c r="I5" s="376">
        <v>143.72999999999999</v>
      </c>
      <c r="J5" s="376">
        <v>0</v>
      </c>
      <c r="K5" s="376">
        <v>0</v>
      </c>
      <c r="L5" s="377">
        <f t="shared" ref="L5:L9" si="0">+SUM(D5+F5+H5+J5)</f>
        <v>116</v>
      </c>
      <c r="M5" s="377">
        <f t="shared" ref="M5:M9" si="1">+SUM(E5,G5,I5,K5)</f>
        <v>7224.1299999999992</v>
      </c>
    </row>
    <row r="6" spans="2:13">
      <c r="C6" s="375">
        <v>2012</v>
      </c>
      <c r="D6" s="377">
        <v>11</v>
      </c>
      <c r="E6" s="377">
        <v>223.65</v>
      </c>
      <c r="F6" s="377">
        <v>79</v>
      </c>
      <c r="G6" s="377">
        <v>6875.26</v>
      </c>
      <c r="H6" s="377">
        <v>14</v>
      </c>
      <c r="I6" s="377">
        <v>275.7</v>
      </c>
      <c r="J6" s="377">
        <v>1</v>
      </c>
      <c r="K6" s="377">
        <v>44.06</v>
      </c>
      <c r="L6" s="377">
        <f t="shared" si="0"/>
        <v>105</v>
      </c>
      <c r="M6" s="377">
        <f t="shared" si="1"/>
        <v>7418.67</v>
      </c>
    </row>
    <row r="7" spans="2:13">
      <c r="C7" s="375">
        <v>2013</v>
      </c>
      <c r="D7" s="377">
        <v>12</v>
      </c>
      <c r="E7" s="377">
        <v>154.68</v>
      </c>
      <c r="F7" s="377">
        <v>124</v>
      </c>
      <c r="G7" s="377">
        <v>2681.19</v>
      </c>
      <c r="H7" s="377">
        <v>2</v>
      </c>
      <c r="I7" s="377">
        <v>94.89</v>
      </c>
      <c r="J7" s="377">
        <v>3</v>
      </c>
      <c r="K7" s="377">
        <v>100.19</v>
      </c>
      <c r="L7" s="377">
        <f t="shared" si="0"/>
        <v>141</v>
      </c>
      <c r="M7" s="377">
        <f t="shared" si="1"/>
        <v>3030.95</v>
      </c>
    </row>
    <row r="8" spans="2:13">
      <c r="C8" s="375">
        <v>2014</v>
      </c>
      <c r="D8" s="377">
        <v>0</v>
      </c>
      <c r="E8" s="377">
        <v>0</v>
      </c>
      <c r="F8" s="377">
        <v>13</v>
      </c>
      <c r="G8" s="377">
        <v>211.82</v>
      </c>
      <c r="H8" s="377">
        <v>0</v>
      </c>
      <c r="I8" s="377">
        <v>0</v>
      </c>
      <c r="J8" s="377">
        <v>0</v>
      </c>
      <c r="K8" s="377">
        <v>0</v>
      </c>
      <c r="L8" s="377">
        <f t="shared" si="0"/>
        <v>13</v>
      </c>
      <c r="M8" s="377">
        <f t="shared" si="1"/>
        <v>211.82</v>
      </c>
    </row>
    <row r="9" spans="2:13">
      <c r="C9" s="375">
        <v>2015</v>
      </c>
      <c r="D9" s="377">
        <v>76</v>
      </c>
      <c r="E9" s="377">
        <v>1659.5</v>
      </c>
      <c r="F9" s="377">
        <v>5</v>
      </c>
      <c r="G9" s="377">
        <v>27.1</v>
      </c>
      <c r="H9" s="377">
        <v>0</v>
      </c>
      <c r="I9" s="377">
        <v>0</v>
      </c>
      <c r="J9" s="377">
        <v>1</v>
      </c>
      <c r="K9" s="377">
        <v>5</v>
      </c>
      <c r="L9" s="377">
        <f t="shared" si="0"/>
        <v>82</v>
      </c>
      <c r="M9" s="377">
        <f t="shared" si="1"/>
        <v>1691.6</v>
      </c>
    </row>
    <row r="12" spans="2:13">
      <c r="B12" s="1198" t="s">
        <v>2333</v>
      </c>
      <c r="C12" s="1199"/>
      <c r="D12" s="1199"/>
      <c r="E12" s="1199"/>
      <c r="F12" s="1199"/>
      <c r="G12" s="1199"/>
      <c r="H12" s="1199"/>
      <c r="I12" s="1199"/>
      <c r="J12" s="1199"/>
      <c r="K12" s="1199"/>
      <c r="L12" s="1199"/>
      <c r="M12" s="1199"/>
    </row>
    <row r="15" spans="2:13" ht="90">
      <c r="C15" s="378" t="s">
        <v>2248</v>
      </c>
      <c r="D15" s="373" t="s">
        <v>2334</v>
      </c>
      <c r="E15" s="373" t="s">
        <v>2335</v>
      </c>
    </row>
    <row r="16" spans="2:13">
      <c r="C16" s="379">
        <v>2011</v>
      </c>
      <c r="D16" s="380">
        <v>37.1</v>
      </c>
      <c r="E16" s="380">
        <v>8</v>
      </c>
    </row>
    <row r="17" spans="3:5">
      <c r="C17" s="379">
        <v>2012</v>
      </c>
      <c r="D17" s="380">
        <v>810.01</v>
      </c>
      <c r="E17" s="380">
        <v>123</v>
      </c>
    </row>
    <row r="18" spans="3:5">
      <c r="C18" s="379">
        <v>2013</v>
      </c>
      <c r="D18" s="380">
        <v>1583.32</v>
      </c>
      <c r="E18" s="380">
        <v>379</v>
      </c>
    </row>
    <row r="19" spans="3:5">
      <c r="C19" s="379">
        <v>2014</v>
      </c>
      <c r="D19" s="380">
        <v>1033.3</v>
      </c>
      <c r="E19" s="380">
        <v>222</v>
      </c>
    </row>
    <row r="20" spans="3:5">
      <c r="C20" s="379">
        <v>2015</v>
      </c>
      <c r="D20" s="380">
        <f>152.02+1021.48+61.52</f>
        <v>1235.02</v>
      </c>
      <c r="E20" s="380">
        <f>30+164+18</f>
        <v>212</v>
      </c>
    </row>
  </sheetData>
  <mergeCells count="7">
    <mergeCell ref="D3:E3"/>
    <mergeCell ref="F3:G3"/>
    <mergeCell ref="H3:I3"/>
    <mergeCell ref="J3:K3"/>
    <mergeCell ref="B12:M12"/>
    <mergeCell ref="C3:C4"/>
    <mergeCell ref="L3:L4"/>
  </mergeCells>
  <pageMargins left="0.69930555555555596" right="0.69930555555555596"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N34"/>
  <sheetViews>
    <sheetView workbookViewId="0">
      <pane ySplit="1" topLeftCell="A29" activePane="bottomLeft" state="frozen"/>
      <selection pane="bottomLeft" activeCell="N33" sqref="N33"/>
    </sheetView>
  </sheetViews>
  <sheetFormatPr baseColWidth="10" defaultColWidth="9" defaultRowHeight="15"/>
  <cols>
    <col min="1" max="1" width="5.28515625" customWidth="1"/>
    <col min="2" max="2" width="10" customWidth="1"/>
    <col min="5" max="5" width="14.7109375" customWidth="1"/>
  </cols>
  <sheetData>
    <row r="1" spans="1:14" ht="60">
      <c r="A1" s="332" t="s">
        <v>0</v>
      </c>
      <c r="B1" s="164" t="s">
        <v>1</v>
      </c>
      <c r="C1" s="333" t="s">
        <v>2</v>
      </c>
      <c r="D1" s="164" t="s">
        <v>6</v>
      </c>
      <c r="E1" s="164" t="s">
        <v>7</v>
      </c>
      <c r="F1" s="38" t="s">
        <v>8</v>
      </c>
      <c r="G1" s="334" t="s">
        <v>9</v>
      </c>
      <c r="H1" s="335" t="s">
        <v>10</v>
      </c>
      <c r="I1" s="354" t="s">
        <v>8</v>
      </c>
      <c r="J1" s="354" t="s">
        <v>9</v>
      </c>
      <c r="K1" s="355" t="s">
        <v>10</v>
      </c>
      <c r="L1" s="356" t="s">
        <v>2336</v>
      </c>
    </row>
    <row r="2" spans="1:14" ht="38.25">
      <c r="A2" s="40">
        <v>29</v>
      </c>
      <c r="B2" s="41" t="s">
        <v>225</v>
      </c>
      <c r="C2" s="336" t="s">
        <v>226</v>
      </c>
      <c r="D2" s="336" t="s">
        <v>229</v>
      </c>
      <c r="E2" s="336" t="s">
        <v>212</v>
      </c>
      <c r="F2" s="337">
        <v>1000</v>
      </c>
      <c r="G2" s="338">
        <v>1000</v>
      </c>
      <c r="H2" s="339">
        <v>1000</v>
      </c>
      <c r="I2" s="172">
        <v>1000</v>
      </c>
      <c r="J2" s="172">
        <v>1000</v>
      </c>
      <c r="K2" s="357">
        <v>1000</v>
      </c>
      <c r="L2" s="358">
        <f>J2-G2</f>
        <v>0</v>
      </c>
    </row>
    <row r="3" spans="1:14" ht="38.25">
      <c r="A3" s="8">
        <v>31</v>
      </c>
      <c r="B3" s="47" t="s">
        <v>238</v>
      </c>
      <c r="C3" s="148" t="s">
        <v>239</v>
      </c>
      <c r="D3" s="148" t="s">
        <v>240</v>
      </c>
      <c r="E3" s="148" t="s">
        <v>235</v>
      </c>
      <c r="F3" s="313">
        <v>4061</v>
      </c>
      <c r="G3" s="340">
        <v>0</v>
      </c>
      <c r="H3" s="341">
        <v>4061</v>
      </c>
      <c r="I3" s="26">
        <v>4061</v>
      </c>
      <c r="J3" s="182">
        <v>0</v>
      </c>
      <c r="K3" s="359">
        <v>4061</v>
      </c>
      <c r="L3" s="360">
        <f t="shared" ref="L3:L31" si="0">J3-G3</f>
        <v>0</v>
      </c>
    </row>
    <row r="4" spans="1:14" ht="127.5">
      <c r="A4" s="8">
        <v>32</v>
      </c>
      <c r="B4" s="45" t="s">
        <v>242</v>
      </c>
      <c r="C4" s="342" t="s">
        <v>243</v>
      </c>
      <c r="D4" s="148" t="s">
        <v>244</v>
      </c>
      <c r="E4" s="148" t="s">
        <v>245</v>
      </c>
      <c r="F4" s="313">
        <v>3200</v>
      </c>
      <c r="G4" s="318">
        <v>3200</v>
      </c>
      <c r="H4" s="341">
        <v>3200</v>
      </c>
      <c r="I4" s="26">
        <v>5265.92</v>
      </c>
      <c r="J4" s="26">
        <v>5265.92</v>
      </c>
      <c r="K4" s="359">
        <v>5265.92</v>
      </c>
      <c r="L4" s="361">
        <f t="shared" si="0"/>
        <v>2065.92</v>
      </c>
      <c r="N4" s="362"/>
    </row>
    <row r="5" spans="1:14" ht="127.5">
      <c r="A5" s="8">
        <v>33</v>
      </c>
      <c r="B5" s="47" t="s">
        <v>249</v>
      </c>
      <c r="C5" s="342" t="s">
        <v>250</v>
      </c>
      <c r="D5" s="148" t="s">
        <v>251</v>
      </c>
      <c r="E5" s="148" t="s">
        <v>252</v>
      </c>
      <c r="F5" s="313">
        <v>4450</v>
      </c>
      <c r="G5" s="318">
        <v>4450</v>
      </c>
      <c r="H5" s="341">
        <v>4450</v>
      </c>
      <c r="I5" s="26">
        <v>5436.93</v>
      </c>
      <c r="J5" s="26">
        <v>5436.93</v>
      </c>
      <c r="K5" s="359">
        <v>5436.93</v>
      </c>
      <c r="L5" s="361">
        <f t="shared" si="0"/>
        <v>986.93000000000029</v>
      </c>
    </row>
    <row r="6" spans="1:14" ht="51">
      <c r="A6" s="8">
        <v>34</v>
      </c>
      <c r="B6" s="45" t="s">
        <v>254</v>
      </c>
      <c r="C6" s="148" t="s">
        <v>255</v>
      </c>
      <c r="D6" s="148" t="s">
        <v>256</v>
      </c>
      <c r="E6" s="148" t="s">
        <v>257</v>
      </c>
      <c r="F6" s="313">
        <v>536</v>
      </c>
      <c r="G6" s="318">
        <v>536</v>
      </c>
      <c r="H6" s="341">
        <v>536</v>
      </c>
      <c r="I6" s="26">
        <v>683.19</v>
      </c>
      <c r="J6" s="26">
        <v>683.19</v>
      </c>
      <c r="K6" s="359">
        <v>683.19</v>
      </c>
      <c r="L6" s="361">
        <f t="shared" si="0"/>
        <v>147.19000000000005</v>
      </c>
    </row>
    <row r="7" spans="1:14" ht="25.5">
      <c r="A7" s="8">
        <v>35</v>
      </c>
      <c r="B7" s="47" t="s">
        <v>259</v>
      </c>
      <c r="C7" s="148" t="s">
        <v>260</v>
      </c>
      <c r="D7" s="148" t="s">
        <v>261</v>
      </c>
      <c r="E7" s="148" t="s">
        <v>262</v>
      </c>
      <c r="F7" s="313">
        <v>592</v>
      </c>
      <c r="G7" s="318">
        <v>592</v>
      </c>
      <c r="H7" s="341">
        <v>592</v>
      </c>
      <c r="I7" s="26">
        <v>524.01</v>
      </c>
      <c r="J7" s="26">
        <v>524.01</v>
      </c>
      <c r="K7" s="359">
        <v>524.01</v>
      </c>
      <c r="L7" s="363">
        <f t="shared" si="0"/>
        <v>-67.990000000000009</v>
      </c>
    </row>
    <row r="8" spans="1:14" ht="38.25">
      <c r="A8" s="8">
        <v>36</v>
      </c>
      <c r="B8" s="47" t="s">
        <v>264</v>
      </c>
      <c r="C8" s="148" t="s">
        <v>265</v>
      </c>
      <c r="D8" s="148" t="s">
        <v>165</v>
      </c>
      <c r="E8" s="148" t="s">
        <v>165</v>
      </c>
      <c r="F8" s="313">
        <v>436</v>
      </c>
      <c r="G8" s="340">
        <v>0</v>
      </c>
      <c r="H8" s="341">
        <v>436</v>
      </c>
      <c r="I8" s="26">
        <v>1101.26</v>
      </c>
      <c r="J8" s="182">
        <v>0</v>
      </c>
      <c r="K8" s="359">
        <v>1101.26</v>
      </c>
      <c r="L8" s="361">
        <f t="shared" si="0"/>
        <v>0</v>
      </c>
    </row>
    <row r="9" spans="1:14" ht="38.25">
      <c r="A9" s="8">
        <v>37</v>
      </c>
      <c r="B9" s="45" t="s">
        <v>268</v>
      </c>
      <c r="C9" s="148" t="s">
        <v>269</v>
      </c>
      <c r="D9" s="148" t="s">
        <v>270</v>
      </c>
      <c r="E9" s="148" t="s">
        <v>190</v>
      </c>
      <c r="F9" s="313">
        <v>36</v>
      </c>
      <c r="G9" s="318">
        <v>36</v>
      </c>
      <c r="H9" s="341">
        <v>36</v>
      </c>
      <c r="I9" s="26">
        <v>48.18</v>
      </c>
      <c r="J9" s="26">
        <v>48.18</v>
      </c>
      <c r="K9" s="359">
        <v>48.18</v>
      </c>
      <c r="L9" s="361">
        <f t="shared" si="0"/>
        <v>12.18</v>
      </c>
    </row>
    <row r="10" spans="1:14" ht="51">
      <c r="A10" s="8">
        <v>38</v>
      </c>
      <c r="B10" s="47" t="s">
        <v>272</v>
      </c>
      <c r="C10" s="343" t="s">
        <v>273</v>
      </c>
      <c r="D10" s="148" t="s">
        <v>274</v>
      </c>
      <c r="E10" s="148" t="s">
        <v>165</v>
      </c>
      <c r="F10" s="313">
        <v>496</v>
      </c>
      <c r="G10" s="318">
        <v>496</v>
      </c>
      <c r="H10" s="341">
        <v>496</v>
      </c>
      <c r="I10" s="26">
        <v>934.52</v>
      </c>
      <c r="J10" s="26">
        <v>934.52</v>
      </c>
      <c r="K10" s="359">
        <v>934.52</v>
      </c>
      <c r="L10" s="361">
        <f t="shared" si="0"/>
        <v>438.52</v>
      </c>
    </row>
    <row r="11" spans="1:14" ht="25.5">
      <c r="A11" s="8">
        <v>39</v>
      </c>
      <c r="B11" s="45" t="s">
        <v>281</v>
      </c>
      <c r="C11" s="148" t="s">
        <v>282</v>
      </c>
      <c r="D11" s="148" t="s">
        <v>283</v>
      </c>
      <c r="E11" s="148" t="s">
        <v>262</v>
      </c>
      <c r="F11" s="313">
        <v>356</v>
      </c>
      <c r="G11" s="318">
        <v>356</v>
      </c>
      <c r="H11" s="341">
        <v>356</v>
      </c>
      <c r="I11" s="26">
        <v>467.16</v>
      </c>
      <c r="J11" s="26">
        <v>467.16</v>
      </c>
      <c r="K11" s="359">
        <v>467.16</v>
      </c>
      <c r="L11" s="361">
        <f t="shared" si="0"/>
        <v>111.16000000000003</v>
      </c>
    </row>
    <row r="12" spans="1:14" ht="38.25">
      <c r="A12" s="8">
        <v>40</v>
      </c>
      <c r="B12" s="45" t="s">
        <v>285</v>
      </c>
      <c r="C12" s="148" t="s">
        <v>286</v>
      </c>
      <c r="D12" s="148" t="s">
        <v>287</v>
      </c>
      <c r="E12" s="148" t="s">
        <v>190</v>
      </c>
      <c r="F12" s="313">
        <v>136</v>
      </c>
      <c r="G12" s="318">
        <v>136</v>
      </c>
      <c r="H12" s="341">
        <v>136</v>
      </c>
      <c r="I12" s="26">
        <v>255.69</v>
      </c>
      <c r="J12" s="26">
        <v>255.69</v>
      </c>
      <c r="K12" s="359">
        <v>255.69</v>
      </c>
      <c r="L12" s="361">
        <f t="shared" si="0"/>
        <v>119.69</v>
      </c>
    </row>
    <row r="13" spans="1:14" ht="25.5">
      <c r="A13" s="8">
        <v>41</v>
      </c>
      <c r="B13" s="47" t="s">
        <v>289</v>
      </c>
      <c r="C13" s="148" t="s">
        <v>290</v>
      </c>
      <c r="D13" s="148" t="s">
        <v>262</v>
      </c>
      <c r="E13" s="148" t="s">
        <v>262</v>
      </c>
      <c r="F13" s="313">
        <v>24</v>
      </c>
      <c r="G13" s="318">
        <v>24</v>
      </c>
      <c r="H13" s="341">
        <v>24</v>
      </c>
      <c r="I13" s="26">
        <v>24.13</v>
      </c>
      <c r="J13" s="26">
        <v>24.13</v>
      </c>
      <c r="K13" s="359">
        <v>24.13</v>
      </c>
      <c r="L13" s="361">
        <f t="shared" si="0"/>
        <v>0.12999999999999901</v>
      </c>
    </row>
    <row r="14" spans="1:14" ht="63.75">
      <c r="A14" s="8">
        <v>42</v>
      </c>
      <c r="B14" s="45" t="s">
        <v>292</v>
      </c>
      <c r="C14" s="342" t="s">
        <v>293</v>
      </c>
      <c r="D14" s="148" t="s">
        <v>294</v>
      </c>
      <c r="E14" s="148" t="s">
        <v>295</v>
      </c>
      <c r="F14" s="313">
        <v>4150</v>
      </c>
      <c r="G14" s="318">
        <v>4150</v>
      </c>
      <c r="H14" s="341">
        <v>4150</v>
      </c>
      <c r="I14" s="26">
        <v>6698.44</v>
      </c>
      <c r="J14" s="26">
        <v>6698.44</v>
      </c>
      <c r="K14" s="359">
        <v>6698.44</v>
      </c>
      <c r="L14" s="361">
        <f t="shared" si="0"/>
        <v>2548.4399999999996</v>
      </c>
    </row>
    <row r="15" spans="1:14" ht="89.25">
      <c r="A15" s="8">
        <v>43</v>
      </c>
      <c r="B15" s="47" t="s">
        <v>296</v>
      </c>
      <c r="C15" s="148" t="s">
        <v>297</v>
      </c>
      <c r="D15" s="148" t="s">
        <v>298</v>
      </c>
      <c r="E15" s="148" t="s">
        <v>262</v>
      </c>
      <c r="F15" s="313">
        <v>208</v>
      </c>
      <c r="G15" s="318">
        <v>208</v>
      </c>
      <c r="H15" s="341">
        <v>208</v>
      </c>
      <c r="I15" s="26">
        <v>583.72</v>
      </c>
      <c r="J15" s="26">
        <v>583.72</v>
      </c>
      <c r="K15" s="359">
        <v>583.72</v>
      </c>
      <c r="L15" s="361">
        <f t="shared" si="0"/>
        <v>375.72</v>
      </c>
    </row>
    <row r="16" spans="1:14" ht="25.5">
      <c r="A16" s="8">
        <v>44</v>
      </c>
      <c r="B16" s="45" t="s">
        <v>300</v>
      </c>
      <c r="C16" s="148" t="s">
        <v>301</v>
      </c>
      <c r="D16" s="148" t="s">
        <v>257</v>
      </c>
      <c r="E16" s="148" t="s">
        <v>257</v>
      </c>
      <c r="F16" s="313">
        <v>1008</v>
      </c>
      <c r="G16" s="318">
        <v>1008</v>
      </c>
      <c r="H16" s="341">
        <v>1008</v>
      </c>
      <c r="I16" s="26">
        <v>1074.0899999999999</v>
      </c>
      <c r="J16" s="26">
        <v>1074.0899999999999</v>
      </c>
      <c r="K16" s="359">
        <v>1074.0899999999999</v>
      </c>
      <c r="L16" s="361">
        <f t="shared" si="0"/>
        <v>66.089999999999918</v>
      </c>
    </row>
    <row r="17" spans="1:12" ht="38.25">
      <c r="A17" s="8">
        <v>45</v>
      </c>
      <c r="B17" s="47" t="s">
        <v>303</v>
      </c>
      <c r="C17" s="148" t="s">
        <v>304</v>
      </c>
      <c r="D17" s="148" t="s">
        <v>305</v>
      </c>
      <c r="E17" s="148" t="s">
        <v>190</v>
      </c>
      <c r="F17" s="313">
        <v>124</v>
      </c>
      <c r="G17" s="318">
        <v>124</v>
      </c>
      <c r="H17" s="341">
        <v>124</v>
      </c>
      <c r="I17" s="26">
        <v>918.46</v>
      </c>
      <c r="J17" s="26">
        <v>918.46</v>
      </c>
      <c r="K17" s="359">
        <v>918.46</v>
      </c>
      <c r="L17" s="361">
        <f t="shared" si="0"/>
        <v>794.46</v>
      </c>
    </row>
    <row r="18" spans="1:12" ht="76.5">
      <c r="A18" s="8">
        <v>46</v>
      </c>
      <c r="B18" s="45" t="s">
        <v>307</v>
      </c>
      <c r="C18" s="148" t="s">
        <v>308</v>
      </c>
      <c r="D18" s="148" t="s">
        <v>309</v>
      </c>
      <c r="E18" s="148" t="s">
        <v>165</v>
      </c>
      <c r="F18" s="313">
        <v>1916</v>
      </c>
      <c r="G18" s="318">
        <v>1916</v>
      </c>
      <c r="H18" s="341">
        <v>1916</v>
      </c>
      <c r="I18" s="26">
        <v>3684.42</v>
      </c>
      <c r="J18" s="26">
        <v>3684.42</v>
      </c>
      <c r="K18" s="359">
        <v>3684.42</v>
      </c>
      <c r="L18" s="361">
        <f t="shared" si="0"/>
        <v>1768.42</v>
      </c>
    </row>
    <row r="19" spans="1:12" ht="51">
      <c r="A19" s="8">
        <v>47</v>
      </c>
      <c r="B19" s="47" t="s">
        <v>311</v>
      </c>
      <c r="C19" s="148" t="s">
        <v>312</v>
      </c>
      <c r="D19" s="148" t="s">
        <v>313</v>
      </c>
      <c r="E19" s="148" t="s">
        <v>262</v>
      </c>
      <c r="F19" s="313">
        <v>312</v>
      </c>
      <c r="G19" s="318">
        <v>312</v>
      </c>
      <c r="H19" s="341">
        <v>312</v>
      </c>
      <c r="I19" s="26">
        <v>163.6</v>
      </c>
      <c r="J19" s="26">
        <v>163.6</v>
      </c>
      <c r="K19" s="364">
        <v>163.6</v>
      </c>
      <c r="L19" s="363">
        <f t="shared" si="0"/>
        <v>-148.4</v>
      </c>
    </row>
    <row r="20" spans="1:12" ht="25.5">
      <c r="A20" s="8">
        <v>48</v>
      </c>
      <c r="B20" s="47" t="s">
        <v>315</v>
      </c>
      <c r="C20" s="148" t="s">
        <v>316</v>
      </c>
      <c r="D20" s="148" t="s">
        <v>317</v>
      </c>
      <c r="E20" s="148" t="s">
        <v>262</v>
      </c>
      <c r="F20" s="313">
        <v>328</v>
      </c>
      <c r="G20" s="318">
        <v>328</v>
      </c>
      <c r="H20" s="341">
        <v>328</v>
      </c>
      <c r="I20" s="26">
        <v>402.59</v>
      </c>
      <c r="J20" s="26">
        <v>402.59</v>
      </c>
      <c r="K20" s="359">
        <v>402.59</v>
      </c>
      <c r="L20" s="361">
        <f t="shared" si="0"/>
        <v>74.589999999999975</v>
      </c>
    </row>
    <row r="21" spans="1:12" ht="38.25">
      <c r="A21" s="8">
        <v>50</v>
      </c>
      <c r="B21" s="45" t="s">
        <v>327</v>
      </c>
      <c r="C21" s="342" t="s">
        <v>328</v>
      </c>
      <c r="D21" s="148" t="s">
        <v>329</v>
      </c>
      <c r="E21" s="148" t="s">
        <v>203</v>
      </c>
      <c r="F21" s="316">
        <v>1172.098755</v>
      </c>
      <c r="G21" s="317">
        <v>1172.098755</v>
      </c>
      <c r="H21" s="344">
        <v>1172.098755</v>
      </c>
      <c r="I21" s="31">
        <v>1172.0999999999999</v>
      </c>
      <c r="J21" s="31">
        <v>1172.0999999999999</v>
      </c>
      <c r="K21" s="365">
        <v>1172.0999999999999</v>
      </c>
      <c r="L21" s="361">
        <f t="shared" si="0"/>
        <v>1.2449999999262218E-3</v>
      </c>
    </row>
    <row r="22" spans="1:12" ht="38.25">
      <c r="A22" s="8">
        <v>51</v>
      </c>
      <c r="B22" s="45" t="s">
        <v>330</v>
      </c>
      <c r="C22" s="148" t="s">
        <v>331</v>
      </c>
      <c r="D22" s="148" t="s">
        <v>165</v>
      </c>
      <c r="E22" s="148" t="s">
        <v>165</v>
      </c>
      <c r="F22" s="313">
        <v>996</v>
      </c>
      <c r="G22" s="340">
        <v>0</v>
      </c>
      <c r="H22" s="341">
        <v>996</v>
      </c>
      <c r="I22" s="26">
        <v>3149.72</v>
      </c>
      <c r="J22" s="182">
        <v>0</v>
      </c>
      <c r="K22" s="359">
        <v>3149.72</v>
      </c>
      <c r="L22" s="361">
        <f t="shared" si="0"/>
        <v>0</v>
      </c>
    </row>
    <row r="23" spans="1:12" ht="38.25">
      <c r="A23" s="8">
        <v>52</v>
      </c>
      <c r="B23" s="47" t="s">
        <v>333</v>
      </c>
      <c r="C23" s="148" t="s">
        <v>334</v>
      </c>
      <c r="D23" s="221" t="s">
        <v>165</v>
      </c>
      <c r="E23" s="148" t="s">
        <v>165</v>
      </c>
      <c r="F23" s="313">
        <v>912</v>
      </c>
      <c r="G23" s="340">
        <v>0</v>
      </c>
      <c r="H23" s="341">
        <v>912</v>
      </c>
      <c r="I23" s="26">
        <v>1566.73</v>
      </c>
      <c r="J23" s="182">
        <v>0</v>
      </c>
      <c r="K23" s="359">
        <v>1566.73</v>
      </c>
      <c r="L23" s="361">
        <f t="shared" si="0"/>
        <v>0</v>
      </c>
    </row>
    <row r="24" spans="1:12" ht="76.5">
      <c r="A24" s="8">
        <v>53</v>
      </c>
      <c r="B24" s="45" t="s">
        <v>336</v>
      </c>
      <c r="C24" s="342" t="s">
        <v>337</v>
      </c>
      <c r="D24" s="148" t="s">
        <v>338</v>
      </c>
      <c r="E24" s="148" t="s">
        <v>339</v>
      </c>
      <c r="F24" s="313">
        <v>3220</v>
      </c>
      <c r="G24" s="318">
        <v>3220</v>
      </c>
      <c r="H24" s="341">
        <v>3220</v>
      </c>
      <c r="I24" s="26">
        <v>5702.13</v>
      </c>
      <c r="J24" s="26">
        <v>5702.13</v>
      </c>
      <c r="K24" s="359">
        <v>5702.13</v>
      </c>
      <c r="L24" s="361">
        <f t="shared" si="0"/>
        <v>2482.13</v>
      </c>
    </row>
    <row r="25" spans="1:12" ht="156">
      <c r="A25" s="8">
        <v>54</v>
      </c>
      <c r="B25" s="47" t="s">
        <v>341</v>
      </c>
      <c r="C25" s="148" t="s">
        <v>342</v>
      </c>
      <c r="D25" s="345" t="s">
        <v>343</v>
      </c>
      <c r="E25" s="148" t="s">
        <v>165</v>
      </c>
      <c r="F25" s="313">
        <v>324</v>
      </c>
      <c r="G25" s="340">
        <v>0</v>
      </c>
      <c r="H25" s="341">
        <v>324</v>
      </c>
      <c r="I25" s="26">
        <v>5266.2</v>
      </c>
      <c r="J25" s="182">
        <v>0</v>
      </c>
      <c r="K25" s="359">
        <v>5266.2</v>
      </c>
      <c r="L25" s="361">
        <f t="shared" si="0"/>
        <v>0</v>
      </c>
    </row>
    <row r="26" spans="1:12" ht="25.5">
      <c r="A26" s="8">
        <v>55</v>
      </c>
      <c r="B26" s="45" t="s">
        <v>345</v>
      </c>
      <c r="C26" s="148" t="s">
        <v>346</v>
      </c>
      <c r="D26" s="148" t="s">
        <v>347</v>
      </c>
      <c r="E26" s="148" t="s">
        <v>348</v>
      </c>
      <c r="F26" s="313">
        <v>964</v>
      </c>
      <c r="G26" s="318">
        <v>964</v>
      </c>
      <c r="H26" s="341">
        <v>964</v>
      </c>
      <c r="I26" s="26">
        <v>2871.12</v>
      </c>
      <c r="J26" s="26">
        <v>2871.12</v>
      </c>
      <c r="K26" s="359">
        <v>2871.12</v>
      </c>
      <c r="L26" s="361">
        <f t="shared" si="0"/>
        <v>1907.12</v>
      </c>
    </row>
    <row r="27" spans="1:12" ht="51">
      <c r="A27" s="8">
        <v>56</v>
      </c>
      <c r="B27" s="47" t="s">
        <v>350</v>
      </c>
      <c r="C27" s="148" t="s">
        <v>351</v>
      </c>
      <c r="D27" s="148" t="s">
        <v>352</v>
      </c>
      <c r="E27" s="148" t="s">
        <v>353</v>
      </c>
      <c r="F27" s="313">
        <v>468</v>
      </c>
      <c r="G27" s="318">
        <v>468</v>
      </c>
      <c r="H27" s="341">
        <v>468</v>
      </c>
      <c r="I27" s="26">
        <v>850.96</v>
      </c>
      <c r="J27" s="26">
        <v>850.96</v>
      </c>
      <c r="K27" s="359">
        <v>850.96</v>
      </c>
      <c r="L27" s="361">
        <f t="shared" si="0"/>
        <v>382.96000000000004</v>
      </c>
    </row>
    <row r="28" spans="1:12" ht="102">
      <c r="A28" s="8">
        <v>57</v>
      </c>
      <c r="B28" s="45" t="s">
        <v>355</v>
      </c>
      <c r="C28" s="148" t="s">
        <v>356</v>
      </c>
      <c r="D28" s="148" t="s">
        <v>357</v>
      </c>
      <c r="E28" s="148" t="s">
        <v>348</v>
      </c>
      <c r="F28" s="313">
        <v>4472</v>
      </c>
      <c r="G28" s="318">
        <v>4472</v>
      </c>
      <c r="H28" s="341">
        <v>4472</v>
      </c>
      <c r="I28" s="26">
        <v>11569.56</v>
      </c>
      <c r="J28" s="26">
        <v>11569.56</v>
      </c>
      <c r="K28" s="359">
        <v>11569.56</v>
      </c>
      <c r="L28" s="361">
        <f t="shared" si="0"/>
        <v>7097.5599999999995</v>
      </c>
    </row>
    <row r="29" spans="1:12" ht="89.25">
      <c r="A29" s="8">
        <v>58</v>
      </c>
      <c r="B29" s="47" t="s">
        <v>359</v>
      </c>
      <c r="C29" s="148" t="s">
        <v>360</v>
      </c>
      <c r="D29" s="148" t="s">
        <v>361</v>
      </c>
      <c r="E29" s="148" t="s">
        <v>190</v>
      </c>
      <c r="F29" s="313">
        <v>1600</v>
      </c>
      <c r="G29" s="318">
        <v>1600</v>
      </c>
      <c r="H29" s="341">
        <v>1600</v>
      </c>
      <c r="I29" s="26">
        <v>908.03</v>
      </c>
      <c r="J29" s="26">
        <v>908.03</v>
      </c>
      <c r="K29" s="359">
        <v>908.03</v>
      </c>
      <c r="L29" s="363">
        <f t="shared" si="0"/>
        <v>-691.97</v>
      </c>
    </row>
    <row r="30" spans="1:12" ht="38.25">
      <c r="A30" s="8">
        <v>59</v>
      </c>
      <c r="B30" s="45" t="s">
        <v>363</v>
      </c>
      <c r="C30" s="148" t="s">
        <v>364</v>
      </c>
      <c r="D30" s="148" t="s">
        <v>365</v>
      </c>
      <c r="E30" s="148" t="s">
        <v>257</v>
      </c>
      <c r="F30" s="313">
        <v>236</v>
      </c>
      <c r="G30" s="318">
        <v>236</v>
      </c>
      <c r="H30" s="341">
        <v>236</v>
      </c>
      <c r="I30" s="26">
        <v>289.24</v>
      </c>
      <c r="J30" s="26">
        <v>289.24</v>
      </c>
      <c r="K30" s="359">
        <v>289.24</v>
      </c>
      <c r="L30" s="361">
        <f t="shared" si="0"/>
        <v>53.240000000000009</v>
      </c>
    </row>
    <row r="31" spans="1:12" ht="76.5">
      <c r="A31" s="15">
        <v>60</v>
      </c>
      <c r="B31" s="346" t="s">
        <v>367</v>
      </c>
      <c r="C31" s="347" t="s">
        <v>368</v>
      </c>
      <c r="D31" s="348" t="s">
        <v>369</v>
      </c>
      <c r="E31" s="348" t="s">
        <v>370</v>
      </c>
      <c r="F31" s="349">
        <v>1168</v>
      </c>
      <c r="G31" s="350">
        <v>1168</v>
      </c>
      <c r="H31" s="351">
        <v>1168</v>
      </c>
      <c r="I31" s="366">
        <v>5201.3100000000004</v>
      </c>
      <c r="J31" s="366">
        <v>5201.3100000000004</v>
      </c>
      <c r="K31" s="367">
        <v>5201.3100000000004</v>
      </c>
      <c r="L31" s="368">
        <f t="shared" si="0"/>
        <v>4033.3100000000004</v>
      </c>
    </row>
    <row r="32" spans="1:12">
      <c r="F32" s="352">
        <f>SUM(F2:F31)</f>
        <v>38901.098754999999</v>
      </c>
      <c r="G32" s="353">
        <f t="shared" ref="G32:L32" si="1">SUM(G2:G31)</f>
        <v>32172.098754999999</v>
      </c>
      <c r="H32" s="353">
        <f t="shared" si="1"/>
        <v>38901.098754999999</v>
      </c>
      <c r="I32" s="353">
        <f t="shared" si="1"/>
        <v>71874.409999999989</v>
      </c>
      <c r="J32" s="353">
        <f t="shared" si="1"/>
        <v>56729.499999999993</v>
      </c>
      <c r="K32" s="369">
        <f t="shared" si="1"/>
        <v>71874.409999999989</v>
      </c>
      <c r="L32" s="370">
        <f t="shared" si="1"/>
        <v>24557.401245000001</v>
      </c>
    </row>
    <row r="34" spans="12:12">
      <c r="L34" s="371">
        <f>L2+L3+L4+L5+L6+L7+L8+L9+L10+L11+L12+L13+L14+L15+L16+L17+L18+L19+L20+L21+L22+L23+L24+L25+L26+L27+L28+L29+L30+L31</f>
        <v>24557.401245000001</v>
      </c>
    </row>
  </sheetData>
  <autoFilter ref="A1:L32" xr:uid="{00000000-0009-0000-0000-000015000000}"/>
  <printOptions horizontalCentered="1" verticalCentered="1"/>
  <pageMargins left="0.51180555555555596" right="0.51180555555555596" top="0.35416666666666702" bottom="0.35416666666666702" header="0.31388888888888899" footer="0.31388888888888899"/>
  <pageSetup scale="8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2:I43"/>
  <sheetViews>
    <sheetView topLeftCell="A22" workbookViewId="0">
      <selection activeCell="M27" sqref="M27"/>
    </sheetView>
  </sheetViews>
  <sheetFormatPr baseColWidth="10" defaultColWidth="9" defaultRowHeight="15"/>
  <cols>
    <col min="1" max="1" width="4.140625" customWidth="1"/>
    <col min="2" max="2" width="8.28515625" customWidth="1"/>
    <col min="3" max="3" width="21.5703125" customWidth="1"/>
    <col min="4" max="4" width="39.85546875" customWidth="1"/>
    <col min="5" max="5" width="9" hidden="1" customWidth="1"/>
    <col min="6" max="6" width="18.140625" customWidth="1"/>
    <col min="7" max="7" width="9" hidden="1" customWidth="1"/>
    <col min="8" max="8" width="12.7109375" customWidth="1"/>
    <col min="9" max="9" width="25.7109375" customWidth="1"/>
  </cols>
  <sheetData>
    <row r="2" spans="1:9" ht="18" customHeight="1">
      <c r="D2" s="1202" t="s">
        <v>2337</v>
      </c>
      <c r="E2" s="1202"/>
      <c r="F2" s="1202"/>
    </row>
    <row r="3" spans="1:9" ht="18" customHeight="1">
      <c r="D3" s="1202"/>
      <c r="E3" s="1202"/>
      <c r="F3" s="1202"/>
    </row>
    <row r="5" spans="1:9" ht="45">
      <c r="A5" s="151" t="s">
        <v>0</v>
      </c>
      <c r="B5" s="151" t="s">
        <v>1</v>
      </c>
      <c r="C5" s="329" t="s">
        <v>2</v>
      </c>
      <c r="D5" s="151" t="s">
        <v>2338</v>
      </c>
      <c r="E5" s="151" t="s">
        <v>4</v>
      </c>
      <c r="F5" s="151" t="s">
        <v>5</v>
      </c>
      <c r="G5" s="151"/>
      <c r="H5" s="151" t="s">
        <v>2339</v>
      </c>
      <c r="I5" s="151" t="s">
        <v>2340</v>
      </c>
    </row>
    <row r="6" spans="1:9" ht="53.25" customHeight="1">
      <c r="A6" s="166">
        <v>1</v>
      </c>
      <c r="B6" s="330" t="s">
        <v>2341</v>
      </c>
      <c r="C6" s="148" t="s">
        <v>2342</v>
      </c>
      <c r="D6" s="148" t="s">
        <v>2343</v>
      </c>
      <c r="E6" s="166" t="s">
        <v>31</v>
      </c>
      <c r="F6" s="148" t="s">
        <v>535</v>
      </c>
      <c r="G6" s="29"/>
      <c r="H6" s="148" t="s">
        <v>2344</v>
      </c>
      <c r="I6" s="198"/>
    </row>
    <row r="7" spans="1:9" ht="53.25" customHeight="1">
      <c r="A7" s="166">
        <v>2</v>
      </c>
      <c r="B7" s="47" t="s">
        <v>2345</v>
      </c>
      <c r="C7" s="148" t="s">
        <v>2346</v>
      </c>
      <c r="D7" s="148" t="s">
        <v>2347</v>
      </c>
      <c r="E7" s="166" t="s">
        <v>49</v>
      </c>
      <c r="F7" s="148" t="s">
        <v>535</v>
      </c>
      <c r="G7" s="29"/>
      <c r="H7" s="148" t="s">
        <v>2348</v>
      </c>
      <c r="I7" s="198" t="s">
        <v>2349</v>
      </c>
    </row>
    <row r="8" spans="1:9" ht="53.25" customHeight="1">
      <c r="A8" s="166">
        <v>3</v>
      </c>
      <c r="B8" s="330" t="s">
        <v>2350</v>
      </c>
      <c r="C8" s="148" t="s">
        <v>2351</v>
      </c>
      <c r="D8" s="148" t="s">
        <v>2352</v>
      </c>
      <c r="E8" s="166" t="s">
        <v>31</v>
      </c>
      <c r="F8" s="148" t="s">
        <v>535</v>
      </c>
      <c r="G8" s="29"/>
      <c r="H8" s="148" t="s">
        <v>1847</v>
      </c>
      <c r="I8" s="148" t="s">
        <v>2353</v>
      </c>
    </row>
    <row r="9" spans="1:9" ht="53.25" customHeight="1">
      <c r="A9" s="166">
        <v>4</v>
      </c>
      <c r="B9" s="47" t="s">
        <v>2354</v>
      </c>
      <c r="C9" s="148" t="s">
        <v>2355</v>
      </c>
      <c r="D9" s="148" t="s">
        <v>2356</v>
      </c>
      <c r="E9" s="166" t="s">
        <v>31</v>
      </c>
      <c r="F9" s="148" t="s">
        <v>321</v>
      </c>
      <c r="G9" s="29"/>
      <c r="H9" s="148" t="s">
        <v>2344</v>
      </c>
      <c r="I9" s="198" t="s">
        <v>2357</v>
      </c>
    </row>
    <row r="10" spans="1:9" ht="53.25" customHeight="1">
      <c r="A10" s="166">
        <v>5</v>
      </c>
      <c r="B10" s="330" t="s">
        <v>2358</v>
      </c>
      <c r="C10" s="148" t="s">
        <v>2359</v>
      </c>
      <c r="D10" s="148" t="s">
        <v>2360</v>
      </c>
      <c r="E10" s="166" t="s">
        <v>49</v>
      </c>
      <c r="F10" s="148" t="s">
        <v>2361</v>
      </c>
      <c r="G10" s="29"/>
      <c r="H10" s="148" t="s">
        <v>2348</v>
      </c>
      <c r="I10" s="198" t="s">
        <v>2362</v>
      </c>
    </row>
    <row r="11" spans="1:9" ht="53.25" customHeight="1">
      <c r="A11" s="166">
        <v>6</v>
      </c>
      <c r="B11" s="47" t="s">
        <v>2363</v>
      </c>
      <c r="C11" s="148" t="s">
        <v>2364</v>
      </c>
      <c r="D11" s="148" t="s">
        <v>2365</v>
      </c>
      <c r="E11" s="166" t="s">
        <v>31</v>
      </c>
      <c r="F11" s="148" t="s">
        <v>210</v>
      </c>
      <c r="G11" s="29"/>
      <c r="H11" s="148" t="s">
        <v>1847</v>
      </c>
      <c r="I11" s="148" t="s">
        <v>2366</v>
      </c>
    </row>
    <row r="12" spans="1:9" ht="53.25" customHeight="1">
      <c r="A12" s="166">
        <v>7</v>
      </c>
      <c r="B12" s="330" t="s">
        <v>2367</v>
      </c>
      <c r="C12" s="148" t="s">
        <v>2368</v>
      </c>
      <c r="D12" s="148" t="s">
        <v>2365</v>
      </c>
      <c r="E12" s="166" t="s">
        <v>49</v>
      </c>
      <c r="F12" s="148" t="s">
        <v>210</v>
      </c>
      <c r="G12" s="29"/>
      <c r="H12" s="148" t="s">
        <v>1847</v>
      </c>
      <c r="I12" s="148" t="s">
        <v>2369</v>
      </c>
    </row>
    <row r="13" spans="1:9" ht="53.25" customHeight="1">
      <c r="A13" s="166">
        <v>8</v>
      </c>
      <c r="B13" s="47" t="s">
        <v>2370</v>
      </c>
      <c r="C13" s="148" t="s">
        <v>2179</v>
      </c>
      <c r="D13" s="148" t="s">
        <v>2371</v>
      </c>
      <c r="E13" s="166" t="s">
        <v>49</v>
      </c>
      <c r="F13" s="148" t="s">
        <v>210</v>
      </c>
      <c r="G13" s="29"/>
      <c r="H13" s="148" t="s">
        <v>1847</v>
      </c>
      <c r="I13" s="148" t="s">
        <v>2372</v>
      </c>
    </row>
    <row r="14" spans="1:9" ht="53.25" customHeight="1">
      <c r="A14" s="166">
        <v>9</v>
      </c>
      <c r="B14" s="330" t="s">
        <v>2373</v>
      </c>
      <c r="C14" s="148" t="s">
        <v>2374</v>
      </c>
      <c r="D14" s="148" t="s">
        <v>2375</v>
      </c>
      <c r="E14" s="166" t="s">
        <v>31</v>
      </c>
      <c r="F14" s="148" t="s">
        <v>210</v>
      </c>
      <c r="G14" s="29"/>
      <c r="H14" s="148" t="s">
        <v>2344</v>
      </c>
      <c r="I14" s="198"/>
    </row>
    <row r="15" spans="1:9" ht="53.25" customHeight="1">
      <c r="A15" s="166">
        <v>10</v>
      </c>
      <c r="B15" s="47" t="s">
        <v>2376</v>
      </c>
      <c r="C15" s="53" t="s">
        <v>2377</v>
      </c>
      <c r="D15" s="53" t="s">
        <v>2378</v>
      </c>
      <c r="E15" s="53" t="s">
        <v>106</v>
      </c>
      <c r="F15" s="148" t="s">
        <v>210</v>
      </c>
      <c r="G15" s="29"/>
      <c r="H15" s="148" t="s">
        <v>2344</v>
      </c>
      <c r="I15" s="29"/>
    </row>
    <row r="16" spans="1:9" ht="53.25" customHeight="1">
      <c r="A16" s="166">
        <v>11</v>
      </c>
      <c r="B16" s="330" t="s">
        <v>2379</v>
      </c>
      <c r="C16" s="148" t="s">
        <v>2380</v>
      </c>
      <c r="D16" s="148" t="s">
        <v>2381</v>
      </c>
      <c r="E16" s="166" t="s">
        <v>31</v>
      </c>
      <c r="F16" s="148" t="s">
        <v>180</v>
      </c>
      <c r="G16" s="29"/>
      <c r="H16" s="148" t="s">
        <v>2344</v>
      </c>
      <c r="I16" s="198" t="s">
        <v>2382</v>
      </c>
    </row>
    <row r="17" spans="1:9" ht="53.25" customHeight="1">
      <c r="A17" s="166">
        <v>12</v>
      </c>
      <c r="B17" s="47" t="s">
        <v>2383</v>
      </c>
      <c r="C17" s="148" t="s">
        <v>2384</v>
      </c>
      <c r="D17" s="148" t="s">
        <v>2385</v>
      </c>
      <c r="E17" s="166"/>
      <c r="F17" s="148" t="s">
        <v>32</v>
      </c>
      <c r="G17" s="29"/>
      <c r="H17" s="148" t="s">
        <v>1847</v>
      </c>
      <c r="I17" s="148" t="s">
        <v>2386</v>
      </c>
    </row>
    <row r="18" spans="1:9" ht="53.25" customHeight="1">
      <c r="A18" s="166">
        <v>13</v>
      </c>
      <c r="B18" s="330" t="s">
        <v>2387</v>
      </c>
      <c r="C18" s="148" t="s">
        <v>2388</v>
      </c>
      <c r="D18" s="148" t="s">
        <v>2389</v>
      </c>
      <c r="E18" s="166"/>
      <c r="F18" s="148" t="s">
        <v>32</v>
      </c>
      <c r="G18" s="29"/>
      <c r="H18" s="148" t="s">
        <v>1847</v>
      </c>
      <c r="I18" s="148" t="s">
        <v>2390</v>
      </c>
    </row>
    <row r="19" spans="1:9" ht="53.25" customHeight="1">
      <c r="A19" s="166">
        <v>14</v>
      </c>
      <c r="B19" s="47" t="s">
        <v>2391</v>
      </c>
      <c r="C19" s="148" t="s">
        <v>2392</v>
      </c>
      <c r="D19" s="148" t="s">
        <v>2393</v>
      </c>
      <c r="E19" s="166"/>
      <c r="F19" s="148" t="s">
        <v>32</v>
      </c>
      <c r="G19" s="29"/>
      <c r="H19" s="331"/>
      <c r="I19" s="29"/>
    </row>
    <row r="20" spans="1:9" ht="53.25" customHeight="1">
      <c r="A20" s="166">
        <v>15</v>
      </c>
      <c r="B20" s="330" t="s">
        <v>2394</v>
      </c>
      <c r="C20" s="148" t="s">
        <v>2395</v>
      </c>
      <c r="D20" s="148" t="s">
        <v>2396</v>
      </c>
      <c r="E20" s="166"/>
      <c r="F20" s="148" t="s">
        <v>180</v>
      </c>
      <c r="G20" s="29"/>
      <c r="H20" s="148" t="s">
        <v>1847</v>
      </c>
      <c r="I20" s="148" t="s">
        <v>2397</v>
      </c>
    </row>
    <row r="21" spans="1:9" ht="53.25" customHeight="1">
      <c r="A21" s="166">
        <v>16</v>
      </c>
      <c r="B21" s="47" t="s">
        <v>2398</v>
      </c>
      <c r="C21" s="148" t="s">
        <v>2399</v>
      </c>
      <c r="D21" s="148" t="s">
        <v>2400</v>
      </c>
      <c r="E21" s="166"/>
      <c r="F21" s="148" t="s">
        <v>164</v>
      </c>
      <c r="G21" s="29"/>
      <c r="H21" s="331"/>
      <c r="I21" s="29"/>
    </row>
    <row r="22" spans="1:9" ht="53.25" customHeight="1">
      <c r="A22" s="166">
        <v>17</v>
      </c>
      <c r="B22" s="330" t="s">
        <v>2401</v>
      </c>
      <c r="C22" s="148" t="s">
        <v>2402</v>
      </c>
      <c r="D22" s="148" t="s">
        <v>2403</v>
      </c>
      <c r="E22" s="166"/>
      <c r="F22" s="148" t="s">
        <v>172</v>
      </c>
      <c r="G22" s="29"/>
      <c r="H22" s="148" t="s">
        <v>1847</v>
      </c>
      <c r="I22" s="148" t="s">
        <v>2404</v>
      </c>
    </row>
    <row r="23" spans="1:9" ht="53.25" customHeight="1">
      <c r="A23" s="166">
        <v>18</v>
      </c>
      <c r="B23" s="47" t="s">
        <v>2405</v>
      </c>
      <c r="C23" s="148" t="s">
        <v>2406</v>
      </c>
      <c r="D23" s="148" t="s">
        <v>2407</v>
      </c>
      <c r="E23" s="166"/>
      <c r="F23" s="148" t="s">
        <v>172</v>
      </c>
      <c r="G23" s="29"/>
      <c r="H23" s="148" t="s">
        <v>1847</v>
      </c>
      <c r="I23" s="148" t="s">
        <v>2408</v>
      </c>
    </row>
    <row r="24" spans="1:9" ht="53.25" customHeight="1">
      <c r="A24" s="166">
        <v>19</v>
      </c>
      <c r="B24" s="330" t="s">
        <v>2409</v>
      </c>
      <c r="C24" s="148" t="s">
        <v>2139</v>
      </c>
      <c r="D24" s="148" t="s">
        <v>2410</v>
      </c>
      <c r="E24" s="166"/>
      <c r="F24" s="148" t="s">
        <v>210</v>
      </c>
      <c r="G24" s="29"/>
      <c r="H24" s="148" t="s">
        <v>1847</v>
      </c>
      <c r="I24" s="148" t="s">
        <v>2411</v>
      </c>
    </row>
    <row r="25" spans="1:9" ht="53.25" customHeight="1">
      <c r="A25" s="166">
        <v>20</v>
      </c>
      <c r="B25" s="47" t="s">
        <v>2412</v>
      </c>
      <c r="C25" s="148" t="s">
        <v>2413</v>
      </c>
      <c r="D25" s="148" t="s">
        <v>2414</v>
      </c>
      <c r="E25" s="166"/>
      <c r="F25" s="53" t="s">
        <v>155</v>
      </c>
      <c r="G25" s="29"/>
      <c r="H25" s="331"/>
      <c r="I25" s="29"/>
    </row>
    <row r="26" spans="1:9" ht="53.25" customHeight="1">
      <c r="A26" s="166">
        <v>21</v>
      </c>
      <c r="B26" s="330" t="s">
        <v>2415</v>
      </c>
      <c r="C26" s="148" t="s">
        <v>2416</v>
      </c>
      <c r="D26" s="148" t="s">
        <v>2417</v>
      </c>
      <c r="E26" s="166"/>
      <c r="F26" s="53" t="s">
        <v>32</v>
      </c>
      <c r="G26" s="29"/>
      <c r="H26" s="331"/>
      <c r="I26" s="29"/>
    </row>
    <row r="27" spans="1:9" ht="66.75" customHeight="1">
      <c r="A27" s="166">
        <v>22</v>
      </c>
      <c r="B27" s="47" t="s">
        <v>2418</v>
      </c>
      <c r="C27" s="148" t="s">
        <v>2419</v>
      </c>
      <c r="D27" s="148" t="s">
        <v>2417</v>
      </c>
      <c r="E27" s="166"/>
      <c r="F27" s="148" t="s">
        <v>2420</v>
      </c>
      <c r="G27" s="29"/>
      <c r="H27" s="148" t="s">
        <v>2348</v>
      </c>
      <c r="I27" s="198" t="s">
        <v>2421</v>
      </c>
    </row>
    <row r="28" spans="1:9" ht="53.25" customHeight="1">
      <c r="A28" s="166">
        <v>23</v>
      </c>
      <c r="B28" s="330" t="s">
        <v>2422</v>
      </c>
      <c r="C28" s="148" t="s">
        <v>2423</v>
      </c>
      <c r="D28" s="148" t="s">
        <v>2424</v>
      </c>
      <c r="E28" s="166"/>
      <c r="F28" s="148" t="s">
        <v>155</v>
      </c>
      <c r="G28" s="29"/>
      <c r="H28" s="331"/>
      <c r="I28" s="29"/>
    </row>
    <row r="29" spans="1:9" ht="53.25" customHeight="1">
      <c r="A29" s="166">
        <v>24</v>
      </c>
      <c r="B29" s="47" t="s">
        <v>2425</v>
      </c>
      <c r="C29" s="148" t="s">
        <v>2426</v>
      </c>
      <c r="D29" s="148" t="s">
        <v>2427</v>
      </c>
      <c r="E29" s="166"/>
      <c r="F29" s="148" t="s">
        <v>2428</v>
      </c>
      <c r="G29" s="29"/>
      <c r="H29" s="331"/>
      <c r="I29" s="29"/>
    </row>
    <row r="30" spans="1:9" ht="53.25" customHeight="1">
      <c r="A30" s="166">
        <v>25</v>
      </c>
      <c r="B30" s="330" t="s">
        <v>2429</v>
      </c>
      <c r="C30" s="148" t="s">
        <v>2430</v>
      </c>
      <c r="D30" s="148" t="s">
        <v>2431</v>
      </c>
      <c r="E30" s="166"/>
      <c r="F30" s="53" t="s">
        <v>32</v>
      </c>
      <c r="G30" s="29"/>
      <c r="H30" s="29"/>
      <c r="I30" s="29"/>
    </row>
    <row r="31" spans="1:9" ht="53.25" customHeight="1">
      <c r="A31" s="166">
        <v>26</v>
      </c>
      <c r="B31" s="47" t="s">
        <v>2432</v>
      </c>
      <c r="C31" s="148" t="s">
        <v>869</v>
      </c>
      <c r="D31" s="148" t="s">
        <v>2433</v>
      </c>
      <c r="E31" s="166"/>
      <c r="F31" s="148" t="s">
        <v>32</v>
      </c>
      <c r="G31" s="29"/>
      <c r="H31" s="29"/>
      <c r="I31" s="29"/>
    </row>
    <row r="32" spans="1:9" ht="53.25" customHeight="1">
      <c r="A32" s="166">
        <v>27</v>
      </c>
      <c r="B32" s="330" t="s">
        <v>2434</v>
      </c>
      <c r="C32" s="148" t="s">
        <v>2435</v>
      </c>
      <c r="D32" s="148" t="s">
        <v>2436</v>
      </c>
      <c r="E32" s="166"/>
      <c r="F32" s="148" t="s">
        <v>32</v>
      </c>
      <c r="G32" s="29"/>
      <c r="H32" s="29"/>
      <c r="I32" s="29"/>
    </row>
    <row r="33" spans="1:9" ht="53.25" customHeight="1">
      <c r="A33" s="166">
        <v>28</v>
      </c>
      <c r="B33" s="47" t="s">
        <v>2437</v>
      </c>
      <c r="C33" s="148" t="s">
        <v>2438</v>
      </c>
      <c r="D33" s="148" t="s">
        <v>2439</v>
      </c>
      <c r="E33" s="166"/>
      <c r="F33" s="53" t="s">
        <v>32</v>
      </c>
      <c r="G33" s="29"/>
      <c r="H33" s="29"/>
      <c r="I33" s="29"/>
    </row>
    <row r="34" spans="1:9" ht="53.25" customHeight="1">
      <c r="A34" s="166">
        <v>29</v>
      </c>
      <c r="B34" s="330" t="s">
        <v>2440</v>
      </c>
      <c r="C34" s="148" t="s">
        <v>2441</v>
      </c>
      <c r="D34" s="148" t="s">
        <v>2442</v>
      </c>
      <c r="E34" s="148"/>
      <c r="F34" s="148" t="s">
        <v>155</v>
      </c>
      <c r="G34" s="29"/>
      <c r="H34" s="29"/>
      <c r="I34" s="29"/>
    </row>
    <row r="35" spans="1:9" ht="53.25" customHeight="1">
      <c r="A35" s="166">
        <v>30</v>
      </c>
      <c r="B35" s="47" t="s">
        <v>2443</v>
      </c>
      <c r="C35" s="148" t="s">
        <v>2444</v>
      </c>
      <c r="D35" s="148" t="s">
        <v>2445</v>
      </c>
      <c r="E35" s="166"/>
      <c r="F35" s="148" t="s">
        <v>188</v>
      </c>
      <c r="G35" s="29"/>
      <c r="H35" s="29"/>
      <c r="I35" s="29"/>
    </row>
    <row r="36" spans="1:9" ht="53.25" customHeight="1">
      <c r="A36" s="166">
        <v>31</v>
      </c>
      <c r="B36" s="330" t="s">
        <v>2446</v>
      </c>
      <c r="C36" s="148" t="s">
        <v>2447</v>
      </c>
      <c r="D36" s="148" t="s">
        <v>2448</v>
      </c>
      <c r="E36" s="148"/>
      <c r="F36" s="148" t="s">
        <v>172</v>
      </c>
      <c r="G36" s="29"/>
      <c r="H36" s="29"/>
      <c r="I36" s="29"/>
    </row>
    <row r="37" spans="1:9" ht="53.25" customHeight="1">
      <c r="A37" s="166">
        <v>32</v>
      </c>
      <c r="B37" s="47" t="s">
        <v>2449</v>
      </c>
      <c r="C37" s="148" t="s">
        <v>2450</v>
      </c>
      <c r="D37" s="148" t="s">
        <v>2451</v>
      </c>
      <c r="E37" s="148"/>
      <c r="F37" s="53" t="s">
        <v>172</v>
      </c>
      <c r="G37" s="29"/>
      <c r="H37" s="29"/>
      <c r="I37" s="29"/>
    </row>
    <row r="38" spans="1:9" ht="53.25" customHeight="1">
      <c r="A38" s="166">
        <v>33</v>
      </c>
      <c r="B38" s="330" t="s">
        <v>2452</v>
      </c>
      <c r="C38" s="148" t="s">
        <v>2194</v>
      </c>
      <c r="D38" s="148" t="s">
        <v>2453</v>
      </c>
      <c r="E38" s="148"/>
      <c r="F38" s="53" t="s">
        <v>188</v>
      </c>
      <c r="G38" s="29"/>
      <c r="H38" s="148" t="s">
        <v>2344</v>
      </c>
      <c r="I38" s="148" t="s">
        <v>2454</v>
      </c>
    </row>
    <row r="39" spans="1:9" ht="53.25" customHeight="1">
      <c r="A39" s="166">
        <v>34</v>
      </c>
      <c r="B39" s="47" t="s">
        <v>2455</v>
      </c>
      <c r="C39" s="148" t="s">
        <v>2456</v>
      </c>
      <c r="D39" s="148" t="s">
        <v>2457</v>
      </c>
      <c r="E39" s="148"/>
      <c r="F39" s="148" t="s">
        <v>180</v>
      </c>
      <c r="G39" s="29"/>
      <c r="H39" s="148" t="s">
        <v>2344</v>
      </c>
      <c r="I39" s="29"/>
    </row>
    <row r="40" spans="1:9" ht="53.25" customHeight="1">
      <c r="A40" s="166">
        <v>35</v>
      </c>
      <c r="B40" s="330" t="s">
        <v>2458</v>
      </c>
      <c r="C40" s="148" t="s">
        <v>2459</v>
      </c>
      <c r="D40" s="148" t="s">
        <v>2460</v>
      </c>
      <c r="E40" s="148"/>
      <c r="F40" s="148" t="s">
        <v>321</v>
      </c>
      <c r="G40" s="29"/>
      <c r="H40" s="148" t="s">
        <v>2344</v>
      </c>
      <c r="I40" s="29"/>
    </row>
    <row r="41" spans="1:9" ht="53.25" customHeight="1">
      <c r="A41" s="166">
        <v>36</v>
      </c>
      <c r="B41" s="47" t="s">
        <v>2461</v>
      </c>
      <c r="C41" s="148" t="s">
        <v>2462</v>
      </c>
      <c r="D41" s="148" t="s">
        <v>2463</v>
      </c>
      <c r="E41" s="148"/>
      <c r="F41" s="53" t="s">
        <v>32</v>
      </c>
      <c r="G41" s="29"/>
      <c r="H41" s="148" t="s">
        <v>1847</v>
      </c>
      <c r="I41" s="148" t="s">
        <v>2464</v>
      </c>
    </row>
    <row r="42" spans="1:9" ht="53.25" customHeight="1">
      <c r="A42" s="166">
        <v>37</v>
      </c>
      <c r="B42" s="330" t="s">
        <v>2465</v>
      </c>
      <c r="C42" s="148" t="s">
        <v>2466</v>
      </c>
      <c r="D42" s="148" t="s">
        <v>2467</v>
      </c>
      <c r="E42" s="148"/>
      <c r="F42" s="148" t="s">
        <v>32</v>
      </c>
      <c r="G42" s="29"/>
      <c r="H42" s="148" t="s">
        <v>1847</v>
      </c>
      <c r="I42" s="148" t="s">
        <v>2464</v>
      </c>
    </row>
    <row r="43" spans="1:9" ht="69" customHeight="1">
      <c r="A43" s="166">
        <v>38</v>
      </c>
      <c r="B43" s="47" t="s">
        <v>2468</v>
      </c>
      <c r="C43" s="148" t="s">
        <v>2469</v>
      </c>
      <c r="D43" s="148" t="s">
        <v>2417</v>
      </c>
      <c r="E43" s="148"/>
      <c r="F43" s="53"/>
      <c r="G43" s="29"/>
      <c r="H43" s="29"/>
      <c r="I43" s="29"/>
    </row>
  </sheetData>
  <autoFilter ref="A5:I43" xr:uid="{00000000-0009-0000-0000-000016000000}"/>
  <mergeCells count="1">
    <mergeCell ref="D2:F3"/>
  </mergeCells>
  <pageMargins left="0.69930555555555596" right="0.69930555555555596"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R116"/>
  <sheetViews>
    <sheetView topLeftCell="A36" workbookViewId="0">
      <selection activeCell="G77" sqref="G77"/>
    </sheetView>
  </sheetViews>
  <sheetFormatPr baseColWidth="10" defaultColWidth="9" defaultRowHeight="15"/>
  <cols>
    <col min="1" max="1" width="4.28515625" customWidth="1"/>
    <col min="2" max="2" width="4.5703125" customWidth="1"/>
    <col min="3" max="3" width="7.85546875" customWidth="1"/>
    <col min="5" max="5" width="10.140625" customWidth="1"/>
    <col min="6" max="6" width="7.28515625" customWidth="1"/>
    <col min="7" max="8" width="8.140625" customWidth="1"/>
    <col min="9" max="9" width="10.28515625" customWidth="1"/>
    <col min="10" max="10" width="10" customWidth="1"/>
    <col min="11" max="11" width="8.28515625" customWidth="1"/>
    <col min="12" max="12" width="11.5703125" customWidth="1"/>
    <col min="14" max="14" width="6.85546875" customWidth="1"/>
    <col min="15" max="15" width="9.140625" customWidth="1"/>
  </cols>
  <sheetData>
    <row r="1" spans="1:15" ht="34.5">
      <c r="A1" s="240" t="s">
        <v>2470</v>
      </c>
      <c r="B1" s="154" t="s">
        <v>0</v>
      </c>
      <c r="C1" s="154" t="s">
        <v>1</v>
      </c>
      <c r="D1" s="154" t="s">
        <v>2</v>
      </c>
      <c r="E1" s="154" t="s">
        <v>3</v>
      </c>
      <c r="F1" s="154" t="s">
        <v>4</v>
      </c>
      <c r="G1" s="154" t="s">
        <v>5</v>
      </c>
      <c r="H1" s="154" t="s">
        <v>6</v>
      </c>
      <c r="I1" s="252" t="s">
        <v>8</v>
      </c>
      <c r="J1" s="253" t="s">
        <v>9</v>
      </c>
      <c r="K1" s="154" t="s">
        <v>17</v>
      </c>
      <c r="L1" s="154" t="s">
        <v>18</v>
      </c>
      <c r="M1" s="254" t="s">
        <v>19</v>
      </c>
      <c r="N1" s="254" t="s">
        <v>20</v>
      </c>
      <c r="O1" s="154" t="s">
        <v>21</v>
      </c>
    </row>
    <row r="2" spans="1:15" ht="45">
      <c r="A2" s="135">
        <v>1</v>
      </c>
      <c r="B2" s="241">
        <v>1</v>
      </c>
      <c r="C2" s="242" t="s">
        <v>28</v>
      </c>
      <c r="D2" s="190" t="s">
        <v>2471</v>
      </c>
      <c r="E2" s="243" t="s">
        <v>30</v>
      </c>
      <c r="F2" s="244" t="s">
        <v>31</v>
      </c>
      <c r="G2" s="243" t="s">
        <v>32</v>
      </c>
      <c r="H2" s="243"/>
      <c r="I2" s="255">
        <v>55005</v>
      </c>
      <c r="J2" s="256">
        <v>0</v>
      </c>
      <c r="K2" s="190" t="s">
        <v>38</v>
      </c>
      <c r="L2" s="190" t="s">
        <v>2472</v>
      </c>
      <c r="M2" s="257" t="s">
        <v>40</v>
      </c>
      <c r="N2" s="257">
        <v>2004</v>
      </c>
      <c r="O2" s="258" t="s">
        <v>41</v>
      </c>
    </row>
    <row r="3" spans="1:15" ht="45">
      <c r="A3" s="135">
        <v>2</v>
      </c>
      <c r="B3" s="241">
        <v>2</v>
      </c>
      <c r="C3" s="245" t="s">
        <v>46</v>
      </c>
      <c r="D3" s="194" t="s">
        <v>47</v>
      </c>
      <c r="E3" s="198" t="s">
        <v>48</v>
      </c>
      <c r="F3" s="241" t="s">
        <v>49</v>
      </c>
      <c r="G3" s="198" t="s">
        <v>32</v>
      </c>
      <c r="H3" s="198"/>
      <c r="I3" s="259">
        <v>734.77</v>
      </c>
      <c r="J3" s="260">
        <v>0</v>
      </c>
      <c r="K3" s="190" t="s">
        <v>38</v>
      </c>
      <c r="L3" s="194" t="s">
        <v>53</v>
      </c>
      <c r="M3" s="261" t="s">
        <v>54</v>
      </c>
      <c r="N3" s="261">
        <v>2003</v>
      </c>
      <c r="O3" s="262" t="s">
        <v>55</v>
      </c>
    </row>
    <row r="4" spans="1:15" ht="33.75">
      <c r="A4" s="135">
        <v>3</v>
      </c>
      <c r="B4" s="241">
        <v>3</v>
      </c>
      <c r="C4" s="242" t="s">
        <v>57</v>
      </c>
      <c r="D4" s="194" t="s">
        <v>58</v>
      </c>
      <c r="E4" s="198" t="s">
        <v>30</v>
      </c>
      <c r="F4" s="241" t="s">
        <v>31</v>
      </c>
      <c r="G4" s="198" t="s">
        <v>32</v>
      </c>
      <c r="H4" s="198"/>
      <c r="I4" s="259">
        <v>202865</v>
      </c>
      <c r="J4" s="260">
        <v>0</v>
      </c>
      <c r="K4" s="190" t="s">
        <v>38</v>
      </c>
      <c r="L4" s="194" t="s">
        <v>53</v>
      </c>
      <c r="M4" s="261" t="s">
        <v>64</v>
      </c>
      <c r="N4" s="261">
        <v>2006</v>
      </c>
      <c r="O4" s="262" t="s">
        <v>65</v>
      </c>
    </row>
    <row r="5" spans="1:15" ht="33.75">
      <c r="A5" s="135">
        <v>4</v>
      </c>
      <c r="B5" s="241">
        <v>4</v>
      </c>
      <c r="C5" s="245" t="s">
        <v>70</v>
      </c>
      <c r="D5" s="198" t="s">
        <v>2473</v>
      </c>
      <c r="E5" s="198" t="s">
        <v>30</v>
      </c>
      <c r="F5" s="241" t="s">
        <v>31</v>
      </c>
      <c r="G5" s="198" t="s">
        <v>32</v>
      </c>
      <c r="H5" s="198"/>
      <c r="I5" s="259">
        <v>289912</v>
      </c>
      <c r="J5" s="260">
        <v>0</v>
      </c>
      <c r="K5" s="190" t="s">
        <v>38</v>
      </c>
      <c r="L5" s="194" t="s">
        <v>39</v>
      </c>
      <c r="M5" s="261" t="s">
        <v>76</v>
      </c>
      <c r="N5" s="261">
        <v>2010</v>
      </c>
      <c r="O5" s="262" t="s">
        <v>77</v>
      </c>
    </row>
    <row r="6" spans="1:15" ht="45">
      <c r="A6" s="135">
        <v>5</v>
      </c>
      <c r="B6" s="241">
        <v>5</v>
      </c>
      <c r="C6" s="242" t="s">
        <v>78</v>
      </c>
      <c r="D6" s="198" t="s">
        <v>2474</v>
      </c>
      <c r="E6" s="198" t="s">
        <v>48</v>
      </c>
      <c r="F6" s="241" t="s">
        <v>49</v>
      </c>
      <c r="G6" s="198" t="s">
        <v>32</v>
      </c>
      <c r="H6" s="198"/>
      <c r="I6" s="259">
        <v>45168</v>
      </c>
      <c r="J6" s="260">
        <v>0</v>
      </c>
      <c r="K6" s="190" t="s">
        <v>38</v>
      </c>
      <c r="L6" s="194" t="s">
        <v>39</v>
      </c>
      <c r="M6" s="261" t="s">
        <v>80</v>
      </c>
      <c r="N6" s="261">
        <v>2010</v>
      </c>
      <c r="O6" s="262" t="s">
        <v>77</v>
      </c>
    </row>
    <row r="7" spans="1:15" ht="33.75">
      <c r="A7" s="135">
        <v>6</v>
      </c>
      <c r="B7" s="241">
        <v>6</v>
      </c>
      <c r="C7" s="245" t="s">
        <v>81</v>
      </c>
      <c r="D7" s="198" t="s">
        <v>82</v>
      </c>
      <c r="E7" s="198" t="s">
        <v>30</v>
      </c>
      <c r="F7" s="241" t="s">
        <v>31</v>
      </c>
      <c r="G7" s="198" t="s">
        <v>32</v>
      </c>
      <c r="H7" s="198"/>
      <c r="I7" s="259">
        <v>116911</v>
      </c>
      <c r="J7" s="260">
        <v>0</v>
      </c>
      <c r="K7" s="190" t="s">
        <v>38</v>
      </c>
      <c r="L7" s="194" t="s">
        <v>39</v>
      </c>
      <c r="M7" s="261" t="s">
        <v>84</v>
      </c>
      <c r="N7" s="261">
        <v>2009</v>
      </c>
      <c r="O7" s="262" t="s">
        <v>85</v>
      </c>
    </row>
    <row r="8" spans="1:15" ht="33.75">
      <c r="A8" s="135">
        <v>7</v>
      </c>
      <c r="B8" s="241">
        <v>8</v>
      </c>
      <c r="C8" s="245" t="s">
        <v>92</v>
      </c>
      <c r="D8" s="198" t="s">
        <v>93</v>
      </c>
      <c r="E8" s="198" t="s">
        <v>48</v>
      </c>
      <c r="F8" s="241" t="s">
        <v>49</v>
      </c>
      <c r="G8" s="198" t="s">
        <v>32</v>
      </c>
      <c r="H8" s="198"/>
      <c r="I8" s="259">
        <v>30719</v>
      </c>
      <c r="J8" s="260">
        <v>0</v>
      </c>
      <c r="K8" s="190" t="s">
        <v>38</v>
      </c>
      <c r="L8" s="194" t="s">
        <v>39</v>
      </c>
      <c r="M8" s="194" t="s">
        <v>95</v>
      </c>
      <c r="N8" s="261">
        <v>2009</v>
      </c>
      <c r="O8" s="262" t="s">
        <v>85</v>
      </c>
    </row>
    <row r="9" spans="1:15" ht="33.75">
      <c r="A9" s="135">
        <v>8</v>
      </c>
      <c r="B9" s="241">
        <v>9</v>
      </c>
      <c r="C9" s="245" t="s">
        <v>96</v>
      </c>
      <c r="D9" s="194" t="s">
        <v>2475</v>
      </c>
      <c r="E9" s="198" t="s">
        <v>30</v>
      </c>
      <c r="F9" s="241" t="s">
        <v>31</v>
      </c>
      <c r="G9" s="198" t="s">
        <v>32</v>
      </c>
      <c r="H9" s="198"/>
      <c r="I9" s="259">
        <v>37160</v>
      </c>
      <c r="J9" s="260">
        <v>0</v>
      </c>
      <c r="K9" s="190" t="s">
        <v>38</v>
      </c>
      <c r="L9" s="201" t="s">
        <v>100</v>
      </c>
      <c r="M9" s="194" t="s">
        <v>101</v>
      </c>
      <c r="N9" s="261">
        <v>2006</v>
      </c>
      <c r="O9" s="262" t="s">
        <v>65</v>
      </c>
    </row>
    <row r="10" spans="1:15" ht="51">
      <c r="A10" s="135">
        <v>9</v>
      </c>
      <c r="B10" s="241">
        <v>10</v>
      </c>
      <c r="C10" s="242" t="s">
        <v>103</v>
      </c>
      <c r="D10" s="246" t="s">
        <v>2476</v>
      </c>
      <c r="E10" s="27" t="s">
        <v>105</v>
      </c>
      <c r="F10" s="27" t="s">
        <v>106</v>
      </c>
      <c r="G10" s="27" t="s">
        <v>32</v>
      </c>
      <c r="H10" s="27"/>
      <c r="I10" s="263">
        <v>2160204</v>
      </c>
      <c r="J10" s="264">
        <v>2160204</v>
      </c>
      <c r="K10" s="190" t="s">
        <v>38</v>
      </c>
      <c r="L10" s="201" t="s">
        <v>100</v>
      </c>
      <c r="M10" s="200" t="s">
        <v>110</v>
      </c>
      <c r="N10" s="195">
        <v>2015</v>
      </c>
      <c r="O10" s="202" t="s">
        <v>111</v>
      </c>
    </row>
    <row r="11" spans="1:15" ht="33.75">
      <c r="A11" s="135">
        <v>10</v>
      </c>
      <c r="B11" s="241">
        <v>11</v>
      </c>
      <c r="C11" s="245" t="s">
        <v>115</v>
      </c>
      <c r="D11" s="198" t="s">
        <v>116</v>
      </c>
      <c r="E11" s="198" t="s">
        <v>117</v>
      </c>
      <c r="F11" s="241" t="s">
        <v>31</v>
      </c>
      <c r="G11" s="198" t="s">
        <v>32</v>
      </c>
      <c r="H11" s="198"/>
      <c r="I11" s="263">
        <v>60878</v>
      </c>
      <c r="J11" s="264">
        <v>60878</v>
      </c>
      <c r="K11" s="190" t="s">
        <v>38</v>
      </c>
      <c r="L11" s="194" t="s">
        <v>39</v>
      </c>
      <c r="M11" s="194" t="s">
        <v>120</v>
      </c>
      <c r="N11" s="261">
        <v>2008</v>
      </c>
      <c r="O11" s="262" t="s">
        <v>121</v>
      </c>
    </row>
    <row r="12" spans="1:15" ht="33.75">
      <c r="A12" s="135">
        <v>11</v>
      </c>
      <c r="B12" s="241">
        <v>12</v>
      </c>
      <c r="C12" s="242" t="s">
        <v>124</v>
      </c>
      <c r="D12" s="198" t="s">
        <v>125</v>
      </c>
      <c r="E12" s="198" t="s">
        <v>126</v>
      </c>
      <c r="F12" s="241" t="s">
        <v>127</v>
      </c>
      <c r="G12" s="198" t="s">
        <v>32</v>
      </c>
      <c r="H12" s="198"/>
      <c r="I12" s="265">
        <v>16695</v>
      </c>
      <c r="J12" s="266">
        <v>36139.800000000003</v>
      </c>
      <c r="K12" s="190" t="s">
        <v>38</v>
      </c>
      <c r="L12" s="194" t="s">
        <v>39</v>
      </c>
      <c r="M12" s="194" t="s">
        <v>120</v>
      </c>
      <c r="N12" s="261">
        <v>2008</v>
      </c>
      <c r="O12" s="262" t="s">
        <v>121</v>
      </c>
    </row>
    <row r="13" spans="1:15" ht="33.75">
      <c r="A13" s="135">
        <v>12</v>
      </c>
      <c r="B13" s="241">
        <v>13</v>
      </c>
      <c r="C13" s="245" t="s">
        <v>130</v>
      </c>
      <c r="D13" s="198" t="s">
        <v>131</v>
      </c>
      <c r="E13" s="198" t="s">
        <v>126</v>
      </c>
      <c r="F13" s="241" t="s">
        <v>127</v>
      </c>
      <c r="G13" s="198" t="s">
        <v>32</v>
      </c>
      <c r="H13" s="198"/>
      <c r="I13" s="265">
        <v>4044</v>
      </c>
      <c r="J13" s="266">
        <v>23488.799999999999</v>
      </c>
      <c r="K13" s="190" t="s">
        <v>38</v>
      </c>
      <c r="L13" s="194" t="s">
        <v>39</v>
      </c>
      <c r="M13" s="194" t="s">
        <v>120</v>
      </c>
      <c r="N13" s="261">
        <v>2008</v>
      </c>
      <c r="O13" s="262" t="s">
        <v>121</v>
      </c>
    </row>
    <row r="14" spans="1:15" ht="33.75">
      <c r="A14" s="135">
        <v>13</v>
      </c>
      <c r="B14" s="241">
        <v>14</v>
      </c>
      <c r="C14" s="242" t="s">
        <v>133</v>
      </c>
      <c r="D14" s="198" t="s">
        <v>134</v>
      </c>
      <c r="E14" s="198" t="s">
        <v>135</v>
      </c>
      <c r="F14" s="241" t="s">
        <v>49</v>
      </c>
      <c r="G14" s="198" t="s">
        <v>32</v>
      </c>
      <c r="H14" s="198"/>
      <c r="I14" s="265">
        <v>1683</v>
      </c>
      <c r="J14" s="266">
        <v>21127.8</v>
      </c>
      <c r="K14" s="190" t="s">
        <v>38</v>
      </c>
      <c r="L14" s="194" t="s">
        <v>39</v>
      </c>
      <c r="M14" s="194" t="s">
        <v>120</v>
      </c>
      <c r="N14" s="261">
        <v>2008</v>
      </c>
      <c r="O14" s="262" t="s">
        <v>121</v>
      </c>
    </row>
    <row r="15" spans="1:15" ht="33.75">
      <c r="A15" s="135">
        <v>14</v>
      </c>
      <c r="B15" s="241">
        <v>15</v>
      </c>
      <c r="C15" s="245" t="s">
        <v>137</v>
      </c>
      <c r="D15" s="198" t="s">
        <v>138</v>
      </c>
      <c r="E15" s="198" t="s">
        <v>135</v>
      </c>
      <c r="F15" s="241" t="s">
        <v>49</v>
      </c>
      <c r="G15" s="198" t="s">
        <v>32</v>
      </c>
      <c r="H15" s="198"/>
      <c r="I15" s="265">
        <v>3120</v>
      </c>
      <c r="J15" s="266">
        <v>22564.799999999999</v>
      </c>
      <c r="K15" s="190" t="s">
        <v>38</v>
      </c>
      <c r="L15" s="194" t="s">
        <v>39</v>
      </c>
      <c r="M15" s="194" t="s">
        <v>120</v>
      </c>
      <c r="N15" s="261">
        <v>2008</v>
      </c>
      <c r="O15" s="262" t="s">
        <v>121</v>
      </c>
    </row>
    <row r="16" spans="1:15" ht="33.75">
      <c r="A16" s="135">
        <v>15</v>
      </c>
      <c r="B16" s="241">
        <v>16</v>
      </c>
      <c r="C16" s="242" t="s">
        <v>139</v>
      </c>
      <c r="D16" s="198" t="s">
        <v>140</v>
      </c>
      <c r="E16" s="198" t="s">
        <v>135</v>
      </c>
      <c r="F16" s="241" t="s">
        <v>49</v>
      </c>
      <c r="G16" s="198" t="s">
        <v>32</v>
      </c>
      <c r="H16" s="198"/>
      <c r="I16" s="265">
        <v>1512</v>
      </c>
      <c r="J16" s="266">
        <v>20956.8</v>
      </c>
      <c r="K16" s="190" t="s">
        <v>38</v>
      </c>
      <c r="L16" s="194" t="s">
        <v>39</v>
      </c>
      <c r="M16" s="194" t="s">
        <v>120</v>
      </c>
      <c r="N16" s="261">
        <v>2008</v>
      </c>
      <c r="O16" s="262" t="s">
        <v>121</v>
      </c>
    </row>
    <row r="17" spans="1:15" ht="33.75">
      <c r="A17" s="135">
        <v>16</v>
      </c>
      <c r="B17" s="241">
        <v>17</v>
      </c>
      <c r="C17" s="245" t="s">
        <v>141</v>
      </c>
      <c r="D17" s="201" t="s">
        <v>142</v>
      </c>
      <c r="E17" s="27" t="s">
        <v>105</v>
      </c>
      <c r="F17" s="241" t="s">
        <v>106</v>
      </c>
      <c r="G17" s="198" t="s">
        <v>32</v>
      </c>
      <c r="H17" s="198"/>
      <c r="I17" s="259">
        <v>123685</v>
      </c>
      <c r="J17" s="267">
        <v>123685</v>
      </c>
      <c r="K17" s="190" t="s">
        <v>38</v>
      </c>
      <c r="L17" s="194" t="s">
        <v>53</v>
      </c>
      <c r="M17" s="201" t="s">
        <v>144</v>
      </c>
      <c r="N17" s="261">
        <v>2011</v>
      </c>
      <c r="O17" s="262" t="s">
        <v>145</v>
      </c>
    </row>
    <row r="18" spans="1:15" ht="33.75">
      <c r="A18" s="135">
        <v>17</v>
      </c>
      <c r="B18" s="241">
        <v>18</v>
      </c>
      <c r="C18" s="242" t="s">
        <v>146</v>
      </c>
      <c r="D18" s="201" t="s">
        <v>147</v>
      </c>
      <c r="E18" s="198" t="s">
        <v>126</v>
      </c>
      <c r="F18" s="241" t="s">
        <v>127</v>
      </c>
      <c r="G18" s="198" t="s">
        <v>32</v>
      </c>
      <c r="H18" s="198"/>
      <c r="I18" s="265">
        <v>14766</v>
      </c>
      <c r="J18" s="266">
        <v>49133.5</v>
      </c>
      <c r="K18" s="190" t="s">
        <v>38</v>
      </c>
      <c r="L18" s="194" t="s">
        <v>53</v>
      </c>
      <c r="M18" s="201" t="s">
        <v>144</v>
      </c>
      <c r="N18" s="261">
        <v>2011</v>
      </c>
      <c r="O18" s="262" t="s">
        <v>145</v>
      </c>
    </row>
    <row r="19" spans="1:15" ht="33.75">
      <c r="A19" s="135">
        <v>18</v>
      </c>
      <c r="B19" s="241">
        <v>19</v>
      </c>
      <c r="C19" s="245" t="s">
        <v>149</v>
      </c>
      <c r="D19" s="201" t="s">
        <v>150</v>
      </c>
      <c r="E19" s="198" t="s">
        <v>126</v>
      </c>
      <c r="F19" s="241" t="s">
        <v>127</v>
      </c>
      <c r="G19" s="198" t="s">
        <v>32</v>
      </c>
      <c r="H19" s="198"/>
      <c r="I19" s="265">
        <v>19037</v>
      </c>
      <c r="J19" s="266">
        <v>53404.5</v>
      </c>
      <c r="K19" s="190" t="s">
        <v>38</v>
      </c>
      <c r="L19" s="194" t="s">
        <v>53</v>
      </c>
      <c r="M19" s="201" t="s">
        <v>144</v>
      </c>
      <c r="N19" s="261">
        <v>2011</v>
      </c>
      <c r="O19" s="262" t="s">
        <v>145</v>
      </c>
    </row>
    <row r="20" spans="1:15" ht="33.75">
      <c r="A20" s="135">
        <v>19</v>
      </c>
      <c r="B20" s="241">
        <v>20</v>
      </c>
      <c r="C20" s="242" t="s">
        <v>152</v>
      </c>
      <c r="D20" s="194" t="s">
        <v>153</v>
      </c>
      <c r="E20" s="198" t="s">
        <v>403</v>
      </c>
      <c r="F20" s="241" t="s">
        <v>127</v>
      </c>
      <c r="G20" s="27" t="s">
        <v>155</v>
      </c>
      <c r="H20" s="27"/>
      <c r="I20" s="268">
        <v>122900</v>
      </c>
      <c r="J20" s="269">
        <v>122900</v>
      </c>
      <c r="K20" s="190" t="s">
        <v>38</v>
      </c>
      <c r="L20" s="194" t="s">
        <v>53</v>
      </c>
      <c r="M20" s="194" t="s">
        <v>159</v>
      </c>
      <c r="N20" s="261">
        <v>2007</v>
      </c>
      <c r="O20" s="262" t="s">
        <v>77</v>
      </c>
    </row>
    <row r="21" spans="1:15" ht="45">
      <c r="A21" s="135">
        <v>20</v>
      </c>
      <c r="B21" s="241">
        <v>26</v>
      </c>
      <c r="C21" s="242" t="s">
        <v>199</v>
      </c>
      <c r="D21" s="194" t="s">
        <v>200</v>
      </c>
      <c r="E21" s="198" t="s">
        <v>30</v>
      </c>
      <c r="F21" s="241" t="s">
        <v>31</v>
      </c>
      <c r="G21" s="198" t="s">
        <v>201</v>
      </c>
      <c r="H21" s="198"/>
      <c r="I21" s="259">
        <v>491</v>
      </c>
      <c r="J21" s="267">
        <v>491</v>
      </c>
      <c r="K21" s="190" t="s">
        <v>38</v>
      </c>
      <c r="L21" s="194" t="s">
        <v>53</v>
      </c>
      <c r="M21" s="194" t="s">
        <v>206</v>
      </c>
      <c r="N21" s="261">
        <v>2006</v>
      </c>
      <c r="O21" s="262" t="s">
        <v>65</v>
      </c>
    </row>
    <row r="22" spans="1:15" ht="45">
      <c r="A22" s="135">
        <v>21</v>
      </c>
      <c r="B22" s="241">
        <v>27</v>
      </c>
      <c r="C22" s="245" t="s">
        <v>208</v>
      </c>
      <c r="D22" s="194" t="s">
        <v>209</v>
      </c>
      <c r="E22" s="198" t="s">
        <v>30</v>
      </c>
      <c r="F22" s="241" t="s">
        <v>31</v>
      </c>
      <c r="G22" s="198" t="s">
        <v>210</v>
      </c>
      <c r="H22" s="198"/>
      <c r="I22" s="259">
        <v>13000</v>
      </c>
      <c r="J22" s="270">
        <v>13000</v>
      </c>
      <c r="K22" s="190" t="s">
        <v>38</v>
      </c>
      <c r="L22" s="201" t="s">
        <v>2477</v>
      </c>
      <c r="M22" s="194" t="s">
        <v>214</v>
      </c>
      <c r="N22" s="261">
        <v>2005</v>
      </c>
      <c r="O22" s="262" t="s">
        <v>215</v>
      </c>
    </row>
    <row r="23" spans="1:15" ht="38.25">
      <c r="A23" s="135">
        <v>22</v>
      </c>
      <c r="B23" s="241">
        <v>38</v>
      </c>
      <c r="C23" s="245" t="s">
        <v>272</v>
      </c>
      <c r="D23" s="194" t="s">
        <v>273</v>
      </c>
      <c r="E23" s="247" t="s">
        <v>227</v>
      </c>
      <c r="F23" s="198" t="s">
        <v>228</v>
      </c>
      <c r="G23" s="27" t="s">
        <v>164</v>
      </c>
      <c r="H23" s="27"/>
      <c r="I23" s="259">
        <v>934.52</v>
      </c>
      <c r="J23" s="267">
        <v>934.52</v>
      </c>
      <c r="K23" s="194" t="s">
        <v>38</v>
      </c>
      <c r="L23" s="205" t="s">
        <v>276</v>
      </c>
      <c r="M23" s="200" t="s">
        <v>277</v>
      </c>
      <c r="N23" s="194">
        <v>2016</v>
      </c>
      <c r="O23" s="194" t="s">
        <v>278</v>
      </c>
    </row>
    <row r="24" spans="1:15" ht="45">
      <c r="A24" s="135">
        <v>23</v>
      </c>
      <c r="B24" s="241">
        <v>62</v>
      </c>
      <c r="C24" s="242" t="s">
        <v>379</v>
      </c>
      <c r="D24" s="198" t="s">
        <v>380</v>
      </c>
      <c r="E24" s="181" t="s">
        <v>30</v>
      </c>
      <c r="F24" s="241" t="s">
        <v>31</v>
      </c>
      <c r="G24" s="198" t="s">
        <v>321</v>
      </c>
      <c r="H24" s="198"/>
      <c r="I24" s="259">
        <v>2000</v>
      </c>
      <c r="J24" s="267">
        <v>2000</v>
      </c>
      <c r="K24" s="194" t="s">
        <v>38</v>
      </c>
      <c r="L24" s="247" t="s">
        <v>39</v>
      </c>
      <c r="M24" s="194" t="s">
        <v>384</v>
      </c>
      <c r="N24" s="261">
        <v>2004</v>
      </c>
      <c r="O24" s="262" t="s">
        <v>55</v>
      </c>
    </row>
    <row r="25" spans="1:15" ht="33.75">
      <c r="A25" s="135">
        <v>24</v>
      </c>
      <c r="B25" s="241">
        <v>64</v>
      </c>
      <c r="C25" s="242" t="s">
        <v>391</v>
      </c>
      <c r="D25" s="194" t="s">
        <v>392</v>
      </c>
      <c r="E25" s="198" t="s">
        <v>48</v>
      </c>
      <c r="F25" s="241" t="s">
        <v>49</v>
      </c>
      <c r="G25" s="198" t="s">
        <v>180</v>
      </c>
      <c r="H25" s="198"/>
      <c r="I25" s="271">
        <v>983.29200000000003</v>
      </c>
      <c r="J25" s="272">
        <v>983.29200000000003</v>
      </c>
      <c r="K25" s="190" t="s">
        <v>38</v>
      </c>
      <c r="L25" s="194" t="s">
        <v>396</v>
      </c>
      <c r="M25" s="194" t="s">
        <v>397</v>
      </c>
      <c r="N25" s="261">
        <v>2000</v>
      </c>
      <c r="O25" s="262" t="s">
        <v>398</v>
      </c>
    </row>
    <row r="26" spans="1:15" ht="45">
      <c r="A26" s="135">
        <v>25</v>
      </c>
      <c r="B26" s="241">
        <v>65</v>
      </c>
      <c r="C26" s="245" t="s">
        <v>401</v>
      </c>
      <c r="D26" s="198" t="s">
        <v>2003</v>
      </c>
      <c r="E26" s="198" t="s">
        <v>403</v>
      </c>
      <c r="F26" s="241" t="s">
        <v>127</v>
      </c>
      <c r="G26" s="198" t="s">
        <v>188</v>
      </c>
      <c r="H26" s="198"/>
      <c r="I26" s="259">
        <v>2800</v>
      </c>
      <c r="J26" s="267">
        <v>2800</v>
      </c>
      <c r="K26" s="190" t="s">
        <v>38</v>
      </c>
      <c r="L26" s="247" t="s">
        <v>39</v>
      </c>
      <c r="M26" s="194" t="s">
        <v>406</v>
      </c>
      <c r="N26" s="261">
        <v>2000</v>
      </c>
      <c r="O26" s="262" t="s">
        <v>407</v>
      </c>
    </row>
    <row r="27" spans="1:15" ht="45">
      <c r="A27" s="135">
        <v>26</v>
      </c>
      <c r="B27" s="241">
        <v>70</v>
      </c>
      <c r="C27" s="242" t="s">
        <v>428</v>
      </c>
      <c r="D27" s="201" t="s">
        <v>2478</v>
      </c>
      <c r="E27" s="27" t="s">
        <v>105</v>
      </c>
      <c r="F27" s="241" t="s">
        <v>106</v>
      </c>
      <c r="G27" s="198" t="s">
        <v>430</v>
      </c>
      <c r="H27" s="198"/>
      <c r="I27" s="259">
        <v>240803</v>
      </c>
      <c r="J27" s="267">
        <v>240803</v>
      </c>
      <c r="K27" s="190" t="s">
        <v>38</v>
      </c>
      <c r="L27" s="194" t="s">
        <v>53</v>
      </c>
      <c r="M27" s="201" t="s">
        <v>434</v>
      </c>
      <c r="N27" s="261">
        <v>2011</v>
      </c>
      <c r="O27" s="262" t="s">
        <v>145</v>
      </c>
    </row>
    <row r="28" spans="1:15" ht="33.75">
      <c r="A28" s="135">
        <v>27</v>
      </c>
      <c r="B28" s="241">
        <v>75</v>
      </c>
      <c r="C28" s="245" t="s">
        <v>455</v>
      </c>
      <c r="D28" s="194" t="s">
        <v>2479</v>
      </c>
      <c r="E28" s="198" t="s">
        <v>126</v>
      </c>
      <c r="F28" s="241" t="s">
        <v>127</v>
      </c>
      <c r="G28" s="198" t="s">
        <v>210</v>
      </c>
      <c r="H28" s="198"/>
      <c r="I28" s="259">
        <v>20760</v>
      </c>
      <c r="J28" s="267">
        <v>20760</v>
      </c>
      <c r="K28" s="190" t="s">
        <v>38</v>
      </c>
      <c r="L28" s="194" t="s">
        <v>53</v>
      </c>
      <c r="M28" s="194" t="s">
        <v>459</v>
      </c>
      <c r="N28" s="261">
        <v>2004</v>
      </c>
      <c r="O28" s="262" t="s">
        <v>460</v>
      </c>
    </row>
    <row r="29" spans="1:15" ht="45">
      <c r="A29" s="135">
        <v>28</v>
      </c>
      <c r="B29" s="241">
        <v>78</v>
      </c>
      <c r="C29" s="242" t="s">
        <v>472</v>
      </c>
      <c r="D29" s="198" t="s">
        <v>473</v>
      </c>
      <c r="E29" s="198" t="s">
        <v>474</v>
      </c>
      <c r="F29" s="241" t="s">
        <v>127</v>
      </c>
      <c r="G29" s="198" t="s">
        <v>210</v>
      </c>
      <c r="H29" s="198"/>
      <c r="I29" s="259">
        <v>47433</v>
      </c>
      <c r="J29" s="267">
        <v>47433</v>
      </c>
      <c r="K29" s="190" t="s">
        <v>38</v>
      </c>
      <c r="L29" s="194" t="s">
        <v>39</v>
      </c>
      <c r="M29" s="194" t="s">
        <v>479</v>
      </c>
      <c r="N29" s="261">
        <v>2008</v>
      </c>
      <c r="O29" s="261" t="s">
        <v>121</v>
      </c>
    </row>
    <row r="30" spans="1:15" ht="45">
      <c r="A30" s="135">
        <v>29</v>
      </c>
      <c r="B30" s="241">
        <v>79</v>
      </c>
      <c r="C30" s="245" t="s">
        <v>481</v>
      </c>
      <c r="D30" s="194" t="s">
        <v>2480</v>
      </c>
      <c r="E30" s="198" t="s">
        <v>30</v>
      </c>
      <c r="F30" s="241" t="s">
        <v>31</v>
      </c>
      <c r="G30" s="198" t="s">
        <v>180</v>
      </c>
      <c r="H30" s="198"/>
      <c r="I30" s="259">
        <v>14301.26</v>
      </c>
      <c r="J30" s="267">
        <v>14301.26</v>
      </c>
      <c r="K30" s="194" t="s">
        <v>38</v>
      </c>
      <c r="L30" s="194" t="s">
        <v>53</v>
      </c>
      <c r="M30" s="194" t="s">
        <v>484</v>
      </c>
      <c r="N30" s="261">
        <v>2004</v>
      </c>
      <c r="O30" s="262" t="s">
        <v>460</v>
      </c>
    </row>
    <row r="31" spans="1:15" ht="56.25">
      <c r="A31" s="135">
        <v>30</v>
      </c>
      <c r="B31" s="241">
        <v>83</v>
      </c>
      <c r="C31" s="245" t="s">
        <v>505</v>
      </c>
      <c r="D31" s="198" t="s">
        <v>506</v>
      </c>
      <c r="E31" s="198" t="s">
        <v>507</v>
      </c>
      <c r="F31" s="241" t="s">
        <v>127</v>
      </c>
      <c r="G31" s="198" t="s">
        <v>201</v>
      </c>
      <c r="H31" s="198"/>
      <c r="I31" s="259">
        <v>5372</v>
      </c>
      <c r="J31" s="267">
        <v>5372</v>
      </c>
      <c r="K31" s="190" t="s">
        <v>38</v>
      </c>
      <c r="L31" s="194" t="s">
        <v>53</v>
      </c>
      <c r="M31" s="194" t="s">
        <v>512</v>
      </c>
      <c r="N31" s="261">
        <v>2010</v>
      </c>
      <c r="O31" s="262" t="s">
        <v>513</v>
      </c>
    </row>
    <row r="32" spans="1:15" ht="45">
      <c r="A32" s="135">
        <v>31</v>
      </c>
      <c r="B32" s="241">
        <v>91</v>
      </c>
      <c r="C32" s="245" t="s">
        <v>550</v>
      </c>
      <c r="D32" s="194" t="s">
        <v>551</v>
      </c>
      <c r="E32" s="198" t="s">
        <v>403</v>
      </c>
      <c r="F32" s="241" t="s">
        <v>127</v>
      </c>
      <c r="G32" s="198" t="s">
        <v>188</v>
      </c>
      <c r="H32" s="198"/>
      <c r="I32" s="259">
        <v>2012</v>
      </c>
      <c r="J32" s="267">
        <v>2012</v>
      </c>
      <c r="K32" s="190" t="s">
        <v>38</v>
      </c>
      <c r="L32" s="194" t="s">
        <v>39</v>
      </c>
      <c r="M32" s="194" t="s">
        <v>556</v>
      </c>
      <c r="N32" s="261">
        <v>2001</v>
      </c>
      <c r="O32" s="262" t="s">
        <v>557</v>
      </c>
    </row>
    <row r="33" spans="1:15" ht="38.25">
      <c r="A33" s="135">
        <v>32</v>
      </c>
      <c r="B33" s="241">
        <v>92</v>
      </c>
      <c r="C33" s="242" t="s">
        <v>560</v>
      </c>
      <c r="D33" s="198" t="s">
        <v>561</v>
      </c>
      <c r="E33" s="198" t="s">
        <v>440</v>
      </c>
      <c r="F33" s="241" t="s">
        <v>441</v>
      </c>
      <c r="G33" s="198" t="s">
        <v>180</v>
      </c>
      <c r="H33" s="148" t="s">
        <v>562</v>
      </c>
      <c r="I33" s="259">
        <v>1366</v>
      </c>
      <c r="J33" s="267">
        <v>1366</v>
      </c>
      <c r="K33" s="190" t="s">
        <v>38</v>
      </c>
      <c r="L33" s="194" t="s">
        <v>39</v>
      </c>
      <c r="M33" s="194" t="s">
        <v>565</v>
      </c>
      <c r="N33" s="194">
        <v>2007</v>
      </c>
      <c r="O33" s="262" t="s">
        <v>77</v>
      </c>
    </row>
    <row r="34" spans="1:15" ht="45">
      <c r="A34" s="135">
        <v>33</v>
      </c>
      <c r="B34" s="241">
        <v>94</v>
      </c>
      <c r="C34" s="242" t="s">
        <v>574</v>
      </c>
      <c r="D34" s="194" t="s">
        <v>575</v>
      </c>
      <c r="E34" s="198" t="s">
        <v>576</v>
      </c>
      <c r="F34" s="248" t="s">
        <v>497</v>
      </c>
      <c r="G34" s="198" t="s">
        <v>188</v>
      </c>
      <c r="H34" s="148" t="s">
        <v>603</v>
      </c>
      <c r="I34" s="259">
        <v>2673</v>
      </c>
      <c r="J34" s="267">
        <v>2673</v>
      </c>
      <c r="K34" s="190" t="s">
        <v>38</v>
      </c>
      <c r="L34" s="194" t="s">
        <v>53</v>
      </c>
      <c r="M34" s="194" t="s">
        <v>579</v>
      </c>
      <c r="N34" s="261">
        <v>2008</v>
      </c>
      <c r="O34" s="261" t="s">
        <v>121</v>
      </c>
    </row>
    <row r="35" spans="1:15" ht="33.75">
      <c r="A35" s="135">
        <v>34</v>
      </c>
      <c r="B35" s="241">
        <v>97</v>
      </c>
      <c r="C35" s="245" t="s">
        <v>590</v>
      </c>
      <c r="D35" s="198" t="s">
        <v>591</v>
      </c>
      <c r="E35" s="198" t="s">
        <v>440</v>
      </c>
      <c r="F35" s="241" t="s">
        <v>441</v>
      </c>
      <c r="G35" s="198" t="s">
        <v>188</v>
      </c>
      <c r="H35" s="148" t="s">
        <v>415</v>
      </c>
      <c r="I35" s="259">
        <v>475</v>
      </c>
      <c r="J35" s="267">
        <v>475</v>
      </c>
      <c r="K35" s="190" t="s">
        <v>38</v>
      </c>
      <c r="L35" s="194" t="s">
        <v>39</v>
      </c>
      <c r="M35" s="194" t="s">
        <v>595</v>
      </c>
      <c r="N35" s="194">
        <v>2007</v>
      </c>
      <c r="O35" s="194" t="s">
        <v>77</v>
      </c>
    </row>
    <row r="36" spans="1:15" ht="33.75">
      <c r="A36" s="135">
        <v>35</v>
      </c>
      <c r="B36" s="241">
        <v>102</v>
      </c>
      <c r="C36" s="242" t="s">
        <v>616</v>
      </c>
      <c r="D36" s="198" t="s">
        <v>617</v>
      </c>
      <c r="E36" s="198" t="s">
        <v>440</v>
      </c>
      <c r="F36" s="241" t="s">
        <v>441</v>
      </c>
      <c r="G36" s="198" t="s">
        <v>180</v>
      </c>
      <c r="H36" s="148" t="s">
        <v>603</v>
      </c>
      <c r="I36" s="259">
        <v>22.4</v>
      </c>
      <c r="J36" s="267">
        <v>22.4</v>
      </c>
      <c r="K36" s="190" t="s">
        <v>38</v>
      </c>
      <c r="L36" s="194" t="s">
        <v>39</v>
      </c>
      <c r="M36" s="194" t="s">
        <v>620</v>
      </c>
      <c r="N36" s="194">
        <v>2007</v>
      </c>
      <c r="O36" s="262" t="s">
        <v>77</v>
      </c>
    </row>
    <row r="37" spans="1:15" ht="33.75">
      <c r="A37" s="135">
        <v>36</v>
      </c>
      <c r="B37" s="241">
        <v>105</v>
      </c>
      <c r="C37" s="245" t="s">
        <v>629</v>
      </c>
      <c r="D37" s="198" t="s">
        <v>630</v>
      </c>
      <c r="E37" s="198" t="s">
        <v>440</v>
      </c>
      <c r="F37" s="241" t="s">
        <v>441</v>
      </c>
      <c r="G37" s="198" t="s">
        <v>180</v>
      </c>
      <c r="H37" s="148" t="s">
        <v>415</v>
      </c>
      <c r="I37" s="259">
        <v>451</v>
      </c>
      <c r="J37" s="267">
        <v>451</v>
      </c>
      <c r="K37" s="190" t="s">
        <v>38</v>
      </c>
      <c r="L37" s="194" t="s">
        <v>39</v>
      </c>
      <c r="M37" s="194" t="s">
        <v>632</v>
      </c>
      <c r="N37" s="194">
        <v>2007</v>
      </c>
      <c r="O37" s="194" t="s">
        <v>77</v>
      </c>
    </row>
    <row r="38" spans="1:15" ht="33.75">
      <c r="A38" s="135">
        <v>37</v>
      </c>
      <c r="B38" s="241">
        <v>107</v>
      </c>
      <c r="C38" s="245" t="s">
        <v>638</v>
      </c>
      <c r="D38" s="198" t="s">
        <v>639</v>
      </c>
      <c r="E38" s="198" t="s">
        <v>496</v>
      </c>
      <c r="F38" s="248" t="s">
        <v>497</v>
      </c>
      <c r="G38" s="27" t="s">
        <v>535</v>
      </c>
      <c r="H38" s="27"/>
      <c r="I38" s="259">
        <v>39</v>
      </c>
      <c r="J38" s="267">
        <v>39</v>
      </c>
      <c r="K38" s="190" t="s">
        <v>38</v>
      </c>
      <c r="L38" s="194" t="s">
        <v>39</v>
      </c>
      <c r="M38" s="194" t="s">
        <v>643</v>
      </c>
      <c r="N38" s="261">
        <v>2010</v>
      </c>
      <c r="O38" s="273" t="s">
        <v>513</v>
      </c>
    </row>
    <row r="39" spans="1:15" ht="33.75">
      <c r="A39" s="135">
        <v>38</v>
      </c>
      <c r="B39" s="241">
        <v>113</v>
      </c>
      <c r="C39" s="245" t="s">
        <v>667</v>
      </c>
      <c r="D39" s="198" t="s">
        <v>668</v>
      </c>
      <c r="E39" s="198" t="s">
        <v>440</v>
      </c>
      <c r="F39" s="241" t="s">
        <v>441</v>
      </c>
      <c r="G39" s="27" t="s">
        <v>164</v>
      </c>
      <c r="H39" s="27"/>
      <c r="I39" s="259">
        <v>450</v>
      </c>
      <c r="J39" s="267">
        <v>450</v>
      </c>
      <c r="K39" s="190" t="s">
        <v>38</v>
      </c>
      <c r="L39" s="194" t="s">
        <v>39</v>
      </c>
      <c r="M39" s="194" t="s">
        <v>672</v>
      </c>
      <c r="N39" s="261">
        <v>2008</v>
      </c>
      <c r="O39" s="262" t="s">
        <v>121</v>
      </c>
    </row>
    <row r="40" spans="1:15" ht="33.75">
      <c r="A40" s="135">
        <v>39</v>
      </c>
      <c r="B40" s="241">
        <v>116</v>
      </c>
      <c r="C40" s="242" t="s">
        <v>681</v>
      </c>
      <c r="D40" s="198" t="s">
        <v>682</v>
      </c>
      <c r="E40" s="198" t="s">
        <v>440</v>
      </c>
      <c r="F40" s="241" t="s">
        <v>441</v>
      </c>
      <c r="G40" s="198" t="s">
        <v>180</v>
      </c>
      <c r="H40" s="198" t="s">
        <v>683</v>
      </c>
      <c r="I40" s="259">
        <v>50.35</v>
      </c>
      <c r="J40" s="267">
        <v>50.35</v>
      </c>
      <c r="K40" s="190" t="s">
        <v>38</v>
      </c>
      <c r="L40" s="194" t="s">
        <v>39</v>
      </c>
      <c r="M40" s="194" t="s">
        <v>686</v>
      </c>
      <c r="N40" s="194">
        <v>2007</v>
      </c>
      <c r="O40" s="273" t="s">
        <v>77</v>
      </c>
    </row>
    <row r="41" spans="1:15" ht="33.75">
      <c r="A41" s="135">
        <v>40</v>
      </c>
      <c r="B41" s="241">
        <v>117</v>
      </c>
      <c r="C41" s="245" t="s">
        <v>687</v>
      </c>
      <c r="D41" s="198" t="s">
        <v>688</v>
      </c>
      <c r="E41" s="198" t="s">
        <v>440</v>
      </c>
      <c r="F41" s="241" t="s">
        <v>441</v>
      </c>
      <c r="G41" s="198" t="s">
        <v>180</v>
      </c>
      <c r="H41" s="198" t="s">
        <v>603</v>
      </c>
      <c r="I41" s="259">
        <v>115</v>
      </c>
      <c r="J41" s="267">
        <v>115</v>
      </c>
      <c r="K41" s="190" t="s">
        <v>38</v>
      </c>
      <c r="L41" s="194" t="s">
        <v>39</v>
      </c>
      <c r="M41" s="194" t="s">
        <v>691</v>
      </c>
      <c r="N41" s="194">
        <v>2007</v>
      </c>
      <c r="O41" s="273" t="s">
        <v>77</v>
      </c>
    </row>
    <row r="42" spans="1:15" ht="33.75">
      <c r="A42" s="135">
        <v>41</v>
      </c>
      <c r="B42" s="241">
        <v>120</v>
      </c>
      <c r="C42" s="242" t="s">
        <v>697</v>
      </c>
      <c r="D42" s="201" t="s">
        <v>698</v>
      </c>
      <c r="E42" s="198" t="s">
        <v>440</v>
      </c>
      <c r="F42" s="241" t="s">
        <v>441</v>
      </c>
      <c r="G42" s="198" t="s">
        <v>321</v>
      </c>
      <c r="H42" s="198"/>
      <c r="I42" s="259">
        <v>73.64</v>
      </c>
      <c r="J42" s="267">
        <v>73.64</v>
      </c>
      <c r="K42" s="190" t="s">
        <v>38</v>
      </c>
      <c r="L42" s="194" t="s">
        <v>39</v>
      </c>
      <c r="M42" s="201" t="s">
        <v>701</v>
      </c>
      <c r="N42" s="261">
        <v>2011</v>
      </c>
      <c r="O42" s="262" t="s">
        <v>145</v>
      </c>
    </row>
    <row r="43" spans="1:15" ht="33.75">
      <c r="A43" s="135">
        <v>42</v>
      </c>
      <c r="B43" s="241">
        <v>122</v>
      </c>
      <c r="C43" s="242" t="s">
        <v>707</v>
      </c>
      <c r="D43" s="198" t="s">
        <v>708</v>
      </c>
      <c r="E43" s="198" t="s">
        <v>440</v>
      </c>
      <c r="F43" s="241" t="s">
        <v>441</v>
      </c>
      <c r="G43" s="198" t="s">
        <v>210</v>
      </c>
      <c r="H43" s="198"/>
      <c r="I43" s="259">
        <v>570</v>
      </c>
      <c r="J43" s="267">
        <v>570</v>
      </c>
      <c r="K43" s="190" t="s">
        <v>38</v>
      </c>
      <c r="L43" s="194" t="s">
        <v>39</v>
      </c>
      <c r="M43" s="194" t="s">
        <v>711</v>
      </c>
      <c r="N43" s="194">
        <v>2007</v>
      </c>
      <c r="O43" s="273" t="s">
        <v>77</v>
      </c>
    </row>
    <row r="44" spans="1:15" ht="33.75">
      <c r="A44" s="135">
        <v>43</v>
      </c>
      <c r="B44" s="241">
        <v>125</v>
      </c>
      <c r="C44" s="245" t="s">
        <v>723</v>
      </c>
      <c r="D44" s="198" t="s">
        <v>724</v>
      </c>
      <c r="E44" s="198" t="s">
        <v>440</v>
      </c>
      <c r="F44" s="241" t="s">
        <v>441</v>
      </c>
      <c r="G44" s="198" t="s">
        <v>201</v>
      </c>
      <c r="H44" s="198"/>
      <c r="I44" s="259">
        <v>45.12</v>
      </c>
      <c r="J44" s="267">
        <v>45.12</v>
      </c>
      <c r="K44" s="190" t="s">
        <v>38</v>
      </c>
      <c r="L44" s="194" t="s">
        <v>39</v>
      </c>
      <c r="M44" s="194" t="s">
        <v>729</v>
      </c>
      <c r="N44" s="194">
        <v>2007</v>
      </c>
      <c r="O44" s="273" t="s">
        <v>77</v>
      </c>
    </row>
    <row r="45" spans="1:15" ht="33.75">
      <c r="A45" s="135">
        <v>44</v>
      </c>
      <c r="B45" s="241">
        <v>126</v>
      </c>
      <c r="C45" s="242" t="s">
        <v>730</v>
      </c>
      <c r="D45" s="198" t="s">
        <v>731</v>
      </c>
      <c r="E45" s="198" t="s">
        <v>440</v>
      </c>
      <c r="F45" s="241" t="s">
        <v>441</v>
      </c>
      <c r="G45" s="198" t="s">
        <v>201</v>
      </c>
      <c r="H45" s="198"/>
      <c r="I45" s="259">
        <v>136</v>
      </c>
      <c r="J45" s="267">
        <v>136</v>
      </c>
      <c r="K45" s="190" t="s">
        <v>38</v>
      </c>
      <c r="L45" s="194" t="s">
        <v>39</v>
      </c>
      <c r="M45" s="194" t="s">
        <v>735</v>
      </c>
      <c r="N45" s="194">
        <v>2007</v>
      </c>
      <c r="O45" s="273" t="s">
        <v>77</v>
      </c>
    </row>
    <row r="46" spans="1:15" ht="33.75">
      <c r="A46" s="135">
        <v>45</v>
      </c>
      <c r="B46" s="241">
        <v>129</v>
      </c>
      <c r="C46" s="245" t="s">
        <v>744</v>
      </c>
      <c r="D46" s="198" t="s">
        <v>745</v>
      </c>
      <c r="E46" s="198" t="s">
        <v>440</v>
      </c>
      <c r="F46" s="241" t="s">
        <v>441</v>
      </c>
      <c r="G46" s="198" t="s">
        <v>210</v>
      </c>
      <c r="H46" s="198"/>
      <c r="I46" s="259">
        <v>729</v>
      </c>
      <c r="J46" s="267">
        <v>729</v>
      </c>
      <c r="K46" s="190" t="s">
        <v>38</v>
      </c>
      <c r="L46" s="194" t="s">
        <v>39</v>
      </c>
      <c r="M46" s="194" t="s">
        <v>747</v>
      </c>
      <c r="N46" s="194">
        <v>2007</v>
      </c>
      <c r="O46" s="194" t="s">
        <v>77</v>
      </c>
    </row>
    <row r="47" spans="1:15" ht="33.75">
      <c r="A47" s="135">
        <v>46</v>
      </c>
      <c r="B47" s="241">
        <v>132</v>
      </c>
      <c r="C47" s="242" t="s">
        <v>758</v>
      </c>
      <c r="D47" s="198" t="s">
        <v>759</v>
      </c>
      <c r="E47" s="198" t="s">
        <v>440</v>
      </c>
      <c r="F47" s="241" t="s">
        <v>441</v>
      </c>
      <c r="G47" s="198" t="s">
        <v>210</v>
      </c>
      <c r="H47" s="198"/>
      <c r="I47" s="259">
        <v>496</v>
      </c>
      <c r="J47" s="274">
        <v>0</v>
      </c>
      <c r="K47" s="190" t="s">
        <v>38</v>
      </c>
      <c r="L47" s="194" t="s">
        <v>39</v>
      </c>
      <c r="M47" s="194" t="s">
        <v>761</v>
      </c>
      <c r="N47" s="194">
        <v>2007</v>
      </c>
      <c r="O47" s="194" t="s">
        <v>77</v>
      </c>
    </row>
    <row r="48" spans="1:15" ht="33.75">
      <c r="A48" s="135">
        <v>47</v>
      </c>
      <c r="B48" s="241">
        <v>133</v>
      </c>
      <c r="C48" s="245" t="s">
        <v>762</v>
      </c>
      <c r="D48" s="198" t="s">
        <v>190</v>
      </c>
      <c r="E48" s="198" t="s">
        <v>440</v>
      </c>
      <c r="F48" s="241" t="s">
        <v>441</v>
      </c>
      <c r="G48" s="198" t="s">
        <v>210</v>
      </c>
      <c r="H48" s="198"/>
      <c r="I48" s="259">
        <v>675</v>
      </c>
      <c r="J48" s="267">
        <v>675</v>
      </c>
      <c r="K48" s="190" t="s">
        <v>38</v>
      </c>
      <c r="L48" s="194" t="s">
        <v>39</v>
      </c>
      <c r="M48" s="194" t="s">
        <v>764</v>
      </c>
      <c r="N48" s="261">
        <v>2007</v>
      </c>
      <c r="O48" s="262" t="s">
        <v>77</v>
      </c>
    </row>
    <row r="49" spans="1:15" ht="33.75">
      <c r="A49" s="135">
        <v>48</v>
      </c>
      <c r="B49" s="241">
        <v>134</v>
      </c>
      <c r="C49" s="242" t="s">
        <v>765</v>
      </c>
      <c r="D49" s="198" t="s">
        <v>766</v>
      </c>
      <c r="E49" s="198" t="s">
        <v>440</v>
      </c>
      <c r="F49" s="241" t="s">
        <v>441</v>
      </c>
      <c r="G49" s="198" t="s">
        <v>32</v>
      </c>
      <c r="H49" s="198"/>
      <c r="I49" s="259">
        <v>407</v>
      </c>
      <c r="J49" s="274">
        <v>0</v>
      </c>
      <c r="K49" s="190" t="s">
        <v>38</v>
      </c>
      <c r="L49" s="194" t="s">
        <v>39</v>
      </c>
      <c r="M49" s="194" t="s">
        <v>770</v>
      </c>
      <c r="N49" s="194">
        <v>2007</v>
      </c>
      <c r="O49" s="194" t="s">
        <v>77</v>
      </c>
    </row>
    <row r="50" spans="1:15" ht="33.75">
      <c r="A50" s="135">
        <v>49</v>
      </c>
      <c r="B50" s="241">
        <v>139</v>
      </c>
      <c r="C50" s="245" t="s">
        <v>789</v>
      </c>
      <c r="D50" s="198" t="s">
        <v>790</v>
      </c>
      <c r="E50" s="198" t="s">
        <v>440</v>
      </c>
      <c r="F50" s="241" t="s">
        <v>441</v>
      </c>
      <c r="G50" s="198" t="s">
        <v>188</v>
      </c>
      <c r="H50" s="198"/>
      <c r="I50" s="259">
        <v>735.8</v>
      </c>
      <c r="J50" s="267">
        <v>735.8</v>
      </c>
      <c r="K50" s="190" t="s">
        <v>38</v>
      </c>
      <c r="L50" s="194" t="s">
        <v>39</v>
      </c>
      <c r="M50" s="194" t="s">
        <v>794</v>
      </c>
      <c r="N50" s="194">
        <v>2007</v>
      </c>
      <c r="O50" s="194" t="s">
        <v>77</v>
      </c>
    </row>
    <row r="51" spans="1:15" ht="33.75">
      <c r="A51" s="135">
        <v>50</v>
      </c>
      <c r="B51" s="241">
        <v>142</v>
      </c>
      <c r="C51" s="242" t="s">
        <v>805</v>
      </c>
      <c r="D51" s="198" t="s">
        <v>806</v>
      </c>
      <c r="E51" s="198" t="s">
        <v>496</v>
      </c>
      <c r="F51" s="248" t="s">
        <v>497</v>
      </c>
      <c r="G51" s="198" t="s">
        <v>180</v>
      </c>
      <c r="H51" s="198"/>
      <c r="I51" s="259">
        <v>69</v>
      </c>
      <c r="J51" s="267">
        <v>69</v>
      </c>
      <c r="K51" s="190" t="s">
        <v>38</v>
      </c>
      <c r="L51" s="194" t="s">
        <v>39</v>
      </c>
      <c r="M51" s="194" t="s">
        <v>809</v>
      </c>
      <c r="N51" s="261">
        <v>2007</v>
      </c>
      <c r="O51" s="273" t="s">
        <v>77</v>
      </c>
    </row>
    <row r="52" spans="1:15" ht="67.5">
      <c r="A52" s="135">
        <v>51</v>
      </c>
      <c r="B52" s="241">
        <v>143</v>
      </c>
      <c r="C52" s="242" t="s">
        <v>810</v>
      </c>
      <c r="D52" s="205" t="s">
        <v>811</v>
      </c>
      <c r="E52" s="198" t="s">
        <v>496</v>
      </c>
      <c r="F52" s="248" t="s">
        <v>497</v>
      </c>
      <c r="G52" s="27" t="s">
        <v>535</v>
      </c>
      <c r="H52" s="27"/>
      <c r="I52" s="259">
        <v>7255.4</v>
      </c>
      <c r="J52" s="267">
        <v>7255.4</v>
      </c>
      <c r="K52" s="190" t="s">
        <v>38</v>
      </c>
      <c r="L52" s="205" t="s">
        <v>276</v>
      </c>
      <c r="M52" s="199" t="s">
        <v>816</v>
      </c>
      <c r="N52" s="261">
        <v>2015</v>
      </c>
      <c r="O52" s="273" t="s">
        <v>817</v>
      </c>
    </row>
    <row r="53" spans="1:15" ht="33.75">
      <c r="A53" s="135">
        <v>52</v>
      </c>
      <c r="B53" s="241">
        <v>146</v>
      </c>
      <c r="C53" s="245" t="s">
        <v>830</v>
      </c>
      <c r="D53" s="246" t="s">
        <v>2481</v>
      </c>
      <c r="E53" s="27" t="s">
        <v>126</v>
      </c>
      <c r="F53" s="241" t="s">
        <v>127</v>
      </c>
      <c r="G53" s="249" t="s">
        <v>210</v>
      </c>
      <c r="H53" s="249"/>
      <c r="I53" s="268">
        <v>151878.45000000001</v>
      </c>
      <c r="J53" s="269">
        <v>151878.45000000001</v>
      </c>
      <c r="K53" s="190" t="s">
        <v>38</v>
      </c>
      <c r="L53" s="194" t="s">
        <v>53</v>
      </c>
      <c r="M53" s="194" t="s">
        <v>834</v>
      </c>
      <c r="N53" s="261">
        <v>2007</v>
      </c>
      <c r="O53" s="262" t="s">
        <v>77</v>
      </c>
    </row>
    <row r="54" spans="1:15" ht="45">
      <c r="A54" s="135">
        <v>53</v>
      </c>
      <c r="B54" s="241">
        <v>160</v>
      </c>
      <c r="C54" s="245" t="s">
        <v>895</v>
      </c>
      <c r="D54" s="198" t="s">
        <v>896</v>
      </c>
      <c r="E54" s="27" t="s">
        <v>440</v>
      </c>
      <c r="F54" s="198" t="s">
        <v>441</v>
      </c>
      <c r="G54" s="27" t="s">
        <v>155</v>
      </c>
      <c r="H54" s="27"/>
      <c r="I54" s="275">
        <v>625.04999999999995</v>
      </c>
      <c r="J54" s="274">
        <v>0</v>
      </c>
      <c r="K54" s="190" t="s">
        <v>38</v>
      </c>
      <c r="L54" s="194" t="s">
        <v>39</v>
      </c>
      <c r="M54" s="194" t="s">
        <v>900</v>
      </c>
      <c r="N54" s="261">
        <v>2007</v>
      </c>
      <c r="O54" s="194" t="s">
        <v>77</v>
      </c>
    </row>
    <row r="55" spans="1:15" ht="78.75">
      <c r="A55" s="135">
        <v>54</v>
      </c>
      <c r="B55" s="241">
        <v>165</v>
      </c>
      <c r="C55" s="242" t="s">
        <v>916</v>
      </c>
      <c r="D55" s="246" t="s">
        <v>917</v>
      </c>
      <c r="E55" s="198" t="s">
        <v>496</v>
      </c>
      <c r="F55" s="250" t="s">
        <v>497</v>
      </c>
      <c r="G55" s="27" t="s">
        <v>164</v>
      </c>
      <c r="H55" s="27"/>
      <c r="I55" s="259">
        <v>285</v>
      </c>
      <c r="J55" s="270">
        <v>285</v>
      </c>
      <c r="K55" s="190" t="s">
        <v>38</v>
      </c>
      <c r="L55" s="201" t="s">
        <v>100</v>
      </c>
      <c r="M55" s="199" t="s">
        <v>921</v>
      </c>
      <c r="N55" s="261">
        <v>2015</v>
      </c>
      <c r="O55" s="194" t="s">
        <v>817</v>
      </c>
    </row>
    <row r="56" spans="1:15" ht="45">
      <c r="A56" s="135">
        <v>55</v>
      </c>
      <c r="B56" s="241">
        <v>166</v>
      </c>
      <c r="C56" s="245" t="s">
        <v>922</v>
      </c>
      <c r="D56" s="251" t="s">
        <v>923</v>
      </c>
      <c r="E56" s="198" t="s">
        <v>496</v>
      </c>
      <c r="F56" s="250" t="s">
        <v>497</v>
      </c>
      <c r="G56" s="27" t="s">
        <v>164</v>
      </c>
      <c r="H56" s="27"/>
      <c r="I56" s="259">
        <v>860</v>
      </c>
      <c r="J56" s="270">
        <v>860</v>
      </c>
      <c r="K56" s="190" t="s">
        <v>38</v>
      </c>
      <c r="L56" s="201" t="s">
        <v>100</v>
      </c>
      <c r="M56" s="251" t="s">
        <v>926</v>
      </c>
      <c r="N56" s="246">
        <v>2014</v>
      </c>
      <c r="O56" s="246" t="s">
        <v>927</v>
      </c>
    </row>
    <row r="57" spans="1:15" ht="33.75">
      <c r="A57" s="135">
        <v>56</v>
      </c>
      <c r="B57" s="241">
        <v>168</v>
      </c>
      <c r="C57" s="245" t="s">
        <v>932</v>
      </c>
      <c r="D57" s="251" t="s">
        <v>933</v>
      </c>
      <c r="E57" s="27" t="s">
        <v>440</v>
      </c>
      <c r="F57" s="27" t="s">
        <v>441</v>
      </c>
      <c r="G57" s="27" t="s">
        <v>32</v>
      </c>
      <c r="H57" s="27"/>
      <c r="I57" s="259">
        <v>148</v>
      </c>
      <c r="J57" s="274">
        <v>0</v>
      </c>
      <c r="K57" s="190" t="s">
        <v>38</v>
      </c>
      <c r="L57" s="194" t="s">
        <v>39</v>
      </c>
      <c r="M57" s="201" t="s">
        <v>936</v>
      </c>
      <c r="N57" s="261">
        <v>2011</v>
      </c>
      <c r="O57" s="273" t="s">
        <v>145</v>
      </c>
    </row>
    <row r="58" spans="1:15" ht="33.75">
      <c r="A58" s="135">
        <v>57</v>
      </c>
      <c r="B58" s="241">
        <v>169</v>
      </c>
      <c r="C58" s="242" t="s">
        <v>938</v>
      </c>
      <c r="D58" s="27" t="s">
        <v>939</v>
      </c>
      <c r="E58" s="27" t="s">
        <v>440</v>
      </c>
      <c r="F58" s="198" t="s">
        <v>441</v>
      </c>
      <c r="G58" s="27" t="s">
        <v>32</v>
      </c>
      <c r="H58" s="27"/>
      <c r="I58" s="259">
        <v>79.099999999999994</v>
      </c>
      <c r="J58" s="270">
        <v>79.099999999999994</v>
      </c>
      <c r="K58" s="190" t="s">
        <v>38</v>
      </c>
      <c r="L58" s="194" t="s">
        <v>39</v>
      </c>
      <c r="M58" s="194" t="s">
        <v>943</v>
      </c>
      <c r="N58" s="261">
        <v>2010</v>
      </c>
      <c r="O58" s="273" t="s">
        <v>513</v>
      </c>
    </row>
    <row r="59" spans="1:15" ht="33.75">
      <c r="A59" s="135">
        <v>58</v>
      </c>
      <c r="B59" s="241">
        <v>170</v>
      </c>
      <c r="C59" s="245" t="s">
        <v>944</v>
      </c>
      <c r="D59" s="27" t="s">
        <v>945</v>
      </c>
      <c r="E59" s="27" t="s">
        <v>440</v>
      </c>
      <c r="F59" s="27" t="s">
        <v>441</v>
      </c>
      <c r="G59" s="27" t="s">
        <v>32</v>
      </c>
      <c r="H59" s="27"/>
      <c r="I59" s="259">
        <v>455</v>
      </c>
      <c r="J59" s="274">
        <v>0</v>
      </c>
      <c r="K59" s="190" t="s">
        <v>38</v>
      </c>
      <c r="L59" s="194" t="s">
        <v>39</v>
      </c>
      <c r="M59" s="194" t="s">
        <v>948</v>
      </c>
      <c r="N59" s="261">
        <v>2010</v>
      </c>
      <c r="O59" s="273" t="s">
        <v>513</v>
      </c>
    </row>
    <row r="60" spans="1:15" ht="33.75">
      <c r="A60" s="135">
        <v>59</v>
      </c>
      <c r="B60" s="241">
        <v>171</v>
      </c>
      <c r="C60" s="242" t="s">
        <v>949</v>
      </c>
      <c r="D60" s="27" t="s">
        <v>950</v>
      </c>
      <c r="E60" s="27" t="s">
        <v>440</v>
      </c>
      <c r="F60" s="198" t="s">
        <v>441</v>
      </c>
      <c r="G60" s="27" t="s">
        <v>32</v>
      </c>
      <c r="H60" s="27"/>
      <c r="I60" s="259">
        <v>167</v>
      </c>
      <c r="J60" s="270">
        <v>167</v>
      </c>
      <c r="K60" s="190" t="s">
        <v>38</v>
      </c>
      <c r="L60" s="194" t="s">
        <v>39</v>
      </c>
      <c r="M60" s="194" t="s">
        <v>953</v>
      </c>
      <c r="N60" s="261">
        <v>2010</v>
      </c>
      <c r="O60" s="273" t="s">
        <v>513</v>
      </c>
    </row>
    <row r="61" spans="1:15" ht="33.75">
      <c r="A61" s="135">
        <v>60</v>
      </c>
      <c r="B61" s="241">
        <v>191</v>
      </c>
      <c r="C61" s="242" t="s">
        <v>1023</v>
      </c>
      <c r="D61" s="198" t="s">
        <v>1024</v>
      </c>
      <c r="E61" s="27" t="s">
        <v>440</v>
      </c>
      <c r="F61" s="249" t="s">
        <v>441</v>
      </c>
      <c r="G61" s="198" t="s">
        <v>172</v>
      </c>
      <c r="H61" s="198"/>
      <c r="I61" s="259">
        <v>31.15</v>
      </c>
      <c r="J61" s="270">
        <v>31.15</v>
      </c>
      <c r="K61" s="190" t="s">
        <v>38</v>
      </c>
      <c r="L61" s="194" t="s">
        <v>39</v>
      </c>
      <c r="M61" s="261" t="s">
        <v>1027</v>
      </c>
      <c r="N61" s="261">
        <v>2009</v>
      </c>
      <c r="O61" s="273" t="s">
        <v>85</v>
      </c>
    </row>
    <row r="62" spans="1:15" ht="33.75">
      <c r="A62" s="135">
        <v>61</v>
      </c>
      <c r="B62" s="241">
        <v>192</v>
      </c>
      <c r="C62" s="245" t="s">
        <v>1029</v>
      </c>
      <c r="D62" s="201" t="s">
        <v>1030</v>
      </c>
      <c r="E62" s="27" t="s">
        <v>440</v>
      </c>
      <c r="F62" s="249" t="s">
        <v>441</v>
      </c>
      <c r="G62" s="198" t="s">
        <v>32</v>
      </c>
      <c r="H62" s="198"/>
      <c r="I62" s="259">
        <v>498</v>
      </c>
      <c r="J62" s="274">
        <v>0</v>
      </c>
      <c r="K62" s="190" t="s">
        <v>38</v>
      </c>
      <c r="L62" s="194" t="s">
        <v>39</v>
      </c>
      <c r="M62" s="276" t="s">
        <v>1033</v>
      </c>
      <c r="N62" s="261">
        <v>2011</v>
      </c>
      <c r="O62" s="273" t="s">
        <v>145</v>
      </c>
    </row>
    <row r="63" spans="1:15" ht="56.25">
      <c r="A63" s="135">
        <v>62</v>
      </c>
      <c r="B63" s="241">
        <v>199</v>
      </c>
      <c r="C63" s="242" t="s">
        <v>1058</v>
      </c>
      <c r="D63" s="194" t="s">
        <v>1059</v>
      </c>
      <c r="E63" s="198" t="s">
        <v>496</v>
      </c>
      <c r="F63" s="198" t="s">
        <v>497</v>
      </c>
      <c r="G63" s="27" t="s">
        <v>164</v>
      </c>
      <c r="H63" s="27"/>
      <c r="I63" s="259">
        <v>557.4</v>
      </c>
      <c r="J63" s="267">
        <v>557.4</v>
      </c>
      <c r="K63" s="190" t="s">
        <v>38</v>
      </c>
      <c r="L63" s="194" t="s">
        <v>39</v>
      </c>
      <c r="M63" s="194" t="s">
        <v>1063</v>
      </c>
      <c r="N63" s="194">
        <v>2008</v>
      </c>
      <c r="O63" s="194" t="s">
        <v>121</v>
      </c>
    </row>
    <row r="64" spans="1:15" ht="56.25">
      <c r="A64" s="135">
        <v>63</v>
      </c>
      <c r="B64" s="241">
        <v>201</v>
      </c>
      <c r="C64" s="242" t="s">
        <v>1069</v>
      </c>
      <c r="D64" s="198" t="s">
        <v>1070</v>
      </c>
      <c r="E64" s="198" t="s">
        <v>496</v>
      </c>
      <c r="F64" s="198" t="s">
        <v>497</v>
      </c>
      <c r="G64" s="27" t="s">
        <v>164</v>
      </c>
      <c r="H64" s="27"/>
      <c r="I64" s="268">
        <v>40.71</v>
      </c>
      <c r="J64" s="269">
        <v>40.71</v>
      </c>
      <c r="K64" s="190" t="s">
        <v>38</v>
      </c>
      <c r="L64" s="194" t="s">
        <v>39</v>
      </c>
      <c r="M64" s="261" t="s">
        <v>1074</v>
      </c>
      <c r="N64" s="261">
        <v>2009</v>
      </c>
      <c r="O64" s="273" t="s">
        <v>85</v>
      </c>
    </row>
    <row r="65" spans="1:18" ht="33.75">
      <c r="A65" s="135">
        <v>64</v>
      </c>
      <c r="B65" s="241">
        <v>203</v>
      </c>
      <c r="C65" s="242" t="s">
        <v>1081</v>
      </c>
      <c r="D65" s="198" t="s">
        <v>1082</v>
      </c>
      <c r="E65" s="198" t="s">
        <v>496</v>
      </c>
      <c r="F65" s="198" t="s">
        <v>497</v>
      </c>
      <c r="G65" s="198" t="s">
        <v>32</v>
      </c>
      <c r="H65" s="198"/>
      <c r="I65" s="259">
        <v>22.97</v>
      </c>
      <c r="J65" s="267">
        <v>22.97</v>
      </c>
      <c r="K65" s="190" t="s">
        <v>38</v>
      </c>
      <c r="L65" s="194" t="s">
        <v>39</v>
      </c>
      <c r="M65" s="261" t="s">
        <v>1085</v>
      </c>
      <c r="N65" s="261">
        <v>2010</v>
      </c>
      <c r="O65" s="273" t="s">
        <v>85</v>
      </c>
    </row>
    <row r="66" spans="1:18" ht="33.75">
      <c r="A66" s="135">
        <v>65</v>
      </c>
      <c r="B66" s="241">
        <v>204</v>
      </c>
      <c r="C66" s="245" t="s">
        <v>1087</v>
      </c>
      <c r="D66" s="198" t="s">
        <v>1088</v>
      </c>
      <c r="E66" s="198" t="s">
        <v>496</v>
      </c>
      <c r="F66" s="198" t="s">
        <v>497</v>
      </c>
      <c r="G66" s="198" t="s">
        <v>32</v>
      </c>
      <c r="H66" s="198"/>
      <c r="I66" s="259">
        <v>68</v>
      </c>
      <c r="J66" s="267">
        <v>68</v>
      </c>
      <c r="K66" s="190" t="s">
        <v>38</v>
      </c>
      <c r="L66" s="194" t="s">
        <v>39</v>
      </c>
      <c r="M66" s="261" t="s">
        <v>1085</v>
      </c>
      <c r="N66" s="261">
        <v>2010</v>
      </c>
      <c r="O66" s="273" t="s">
        <v>85</v>
      </c>
    </row>
    <row r="67" spans="1:18" ht="33.75">
      <c r="A67" s="135">
        <v>66</v>
      </c>
      <c r="B67" s="241">
        <v>205</v>
      </c>
      <c r="C67" s="242" t="s">
        <v>1090</v>
      </c>
      <c r="D67" s="198" t="s">
        <v>1091</v>
      </c>
      <c r="E67" s="198" t="s">
        <v>496</v>
      </c>
      <c r="F67" s="198" t="s">
        <v>497</v>
      </c>
      <c r="G67" s="198" t="s">
        <v>32</v>
      </c>
      <c r="H67" s="198"/>
      <c r="I67" s="259">
        <v>7.57</v>
      </c>
      <c r="J67" s="267">
        <v>7.57</v>
      </c>
      <c r="K67" s="190" t="s">
        <v>38</v>
      </c>
      <c r="L67" s="194" t="s">
        <v>39</v>
      </c>
      <c r="M67" s="261" t="s">
        <v>1085</v>
      </c>
      <c r="N67" s="261">
        <v>2010</v>
      </c>
      <c r="O67" s="273" t="s">
        <v>85</v>
      </c>
    </row>
    <row r="68" spans="1:18" ht="33.75">
      <c r="A68" s="135">
        <v>67</v>
      </c>
      <c r="B68" s="241">
        <v>209</v>
      </c>
      <c r="C68" s="242" t="s">
        <v>1107</v>
      </c>
      <c r="D68" s="198" t="s">
        <v>1108</v>
      </c>
      <c r="E68" s="198" t="s">
        <v>496</v>
      </c>
      <c r="F68" s="198" t="s">
        <v>497</v>
      </c>
      <c r="G68" s="198" t="s">
        <v>32</v>
      </c>
      <c r="H68" s="198"/>
      <c r="I68" s="259">
        <v>48.2</v>
      </c>
      <c r="J68" s="267">
        <v>48.2</v>
      </c>
      <c r="K68" s="190" t="s">
        <v>38</v>
      </c>
      <c r="L68" s="194" t="s">
        <v>39</v>
      </c>
      <c r="M68" s="261" t="s">
        <v>1112</v>
      </c>
      <c r="N68" s="261">
        <v>2010</v>
      </c>
      <c r="O68" s="262" t="s">
        <v>513</v>
      </c>
    </row>
    <row r="69" spans="1:18" ht="33.75">
      <c r="A69" s="135">
        <v>68</v>
      </c>
      <c r="B69" s="241">
        <v>211</v>
      </c>
      <c r="C69" s="242" t="s">
        <v>1113</v>
      </c>
      <c r="D69" s="198" t="s">
        <v>1114</v>
      </c>
      <c r="E69" s="198" t="s">
        <v>496</v>
      </c>
      <c r="F69" s="198" t="s">
        <v>497</v>
      </c>
      <c r="G69" s="198" t="s">
        <v>32</v>
      </c>
      <c r="H69" s="198"/>
      <c r="I69" s="259">
        <v>43.4</v>
      </c>
      <c r="J69" s="267">
        <v>43.4</v>
      </c>
      <c r="K69" s="190" t="s">
        <v>38</v>
      </c>
      <c r="L69" s="194" t="s">
        <v>39</v>
      </c>
      <c r="M69" s="261" t="s">
        <v>1117</v>
      </c>
      <c r="N69" s="261">
        <v>2010</v>
      </c>
      <c r="O69" s="262" t="s">
        <v>513</v>
      </c>
    </row>
    <row r="70" spans="1:18" ht="33.75">
      <c r="A70" s="135">
        <v>69</v>
      </c>
      <c r="B70" s="241">
        <v>214</v>
      </c>
      <c r="C70" s="245" t="s">
        <v>1128</v>
      </c>
      <c r="D70" s="198" t="s">
        <v>1129</v>
      </c>
      <c r="E70" s="198" t="s">
        <v>496</v>
      </c>
      <c r="F70" s="198" t="s">
        <v>497</v>
      </c>
      <c r="G70" s="198" t="s">
        <v>32</v>
      </c>
      <c r="H70" s="198"/>
      <c r="I70" s="259">
        <v>11.2</v>
      </c>
      <c r="J70" s="267">
        <v>11.2</v>
      </c>
      <c r="K70" s="190" t="s">
        <v>38</v>
      </c>
      <c r="L70" s="194" t="s">
        <v>39</v>
      </c>
      <c r="M70" s="261" t="s">
        <v>1112</v>
      </c>
      <c r="N70" s="261">
        <v>2010</v>
      </c>
      <c r="O70" s="262" t="s">
        <v>513</v>
      </c>
    </row>
    <row r="71" spans="1:18" ht="33.75">
      <c r="A71" s="135">
        <v>70</v>
      </c>
      <c r="B71" s="241">
        <v>218</v>
      </c>
      <c r="C71" s="245" t="s">
        <v>1146</v>
      </c>
      <c r="D71" s="27" t="s">
        <v>1147</v>
      </c>
      <c r="E71" s="198" t="s">
        <v>496</v>
      </c>
      <c r="F71" s="27" t="s">
        <v>497</v>
      </c>
      <c r="G71" s="27" t="s">
        <v>32</v>
      </c>
      <c r="H71" s="27"/>
      <c r="I71" s="259">
        <v>65.7</v>
      </c>
      <c r="J71" s="274">
        <v>0</v>
      </c>
      <c r="K71" s="190" t="s">
        <v>38</v>
      </c>
      <c r="L71" s="194" t="s">
        <v>39</v>
      </c>
      <c r="M71" s="261" t="s">
        <v>1151</v>
      </c>
      <c r="N71" s="261">
        <v>2010</v>
      </c>
      <c r="O71" s="262" t="s">
        <v>85</v>
      </c>
    </row>
    <row r="72" spans="1:18" ht="33.75">
      <c r="A72" s="135">
        <v>71</v>
      </c>
      <c r="B72" s="241">
        <v>222</v>
      </c>
      <c r="C72" s="245" t="s">
        <v>1167</v>
      </c>
      <c r="D72" s="277" t="s">
        <v>1168</v>
      </c>
      <c r="E72" s="198" t="s">
        <v>496</v>
      </c>
      <c r="F72" s="27" t="s">
        <v>497</v>
      </c>
      <c r="G72" s="27" t="s">
        <v>32</v>
      </c>
      <c r="H72" s="27"/>
      <c r="I72" s="259">
        <v>148.30000000000001</v>
      </c>
      <c r="J72" s="267">
        <v>148.30000000000001</v>
      </c>
      <c r="K72" s="190" t="s">
        <v>38</v>
      </c>
      <c r="L72" s="194" t="s">
        <v>39</v>
      </c>
      <c r="M72" s="261" t="s">
        <v>1112</v>
      </c>
      <c r="N72" s="261">
        <v>2010</v>
      </c>
      <c r="O72" s="262" t="s">
        <v>513</v>
      </c>
    </row>
    <row r="73" spans="1:18" ht="33.75">
      <c r="A73" s="135">
        <v>72</v>
      </c>
      <c r="B73" s="241">
        <v>228</v>
      </c>
      <c r="C73" s="245" t="s">
        <v>1193</v>
      </c>
      <c r="D73" s="246" t="s">
        <v>1194</v>
      </c>
      <c r="E73" s="198" t="s">
        <v>496</v>
      </c>
      <c r="F73" s="241" t="s">
        <v>497</v>
      </c>
      <c r="G73" s="27" t="s">
        <v>164</v>
      </c>
      <c r="H73" s="27"/>
      <c r="I73" s="259">
        <v>1158.19</v>
      </c>
      <c r="J73" s="267">
        <v>1158.19</v>
      </c>
      <c r="K73" s="190" t="s">
        <v>38</v>
      </c>
      <c r="L73" s="194" t="s">
        <v>2482</v>
      </c>
      <c r="M73" s="261" t="s">
        <v>1198</v>
      </c>
      <c r="N73" s="261">
        <v>2008</v>
      </c>
      <c r="O73" s="262" t="s">
        <v>121</v>
      </c>
    </row>
    <row r="74" spans="1:18" ht="33.75">
      <c r="A74" s="135">
        <v>73</v>
      </c>
      <c r="B74" s="241">
        <v>239</v>
      </c>
      <c r="C74" s="242" t="s">
        <v>1236</v>
      </c>
      <c r="D74" s="251" t="s">
        <v>1237</v>
      </c>
      <c r="E74" s="198" t="s">
        <v>440</v>
      </c>
      <c r="F74" s="241" t="s">
        <v>441</v>
      </c>
      <c r="G74" s="198" t="s">
        <v>201</v>
      </c>
      <c r="H74" s="198"/>
      <c r="I74" s="259">
        <v>7.38</v>
      </c>
      <c r="J74" s="267">
        <v>7.38</v>
      </c>
      <c r="K74" s="190" t="s">
        <v>38</v>
      </c>
      <c r="L74" s="194" t="s">
        <v>39</v>
      </c>
      <c r="M74" s="276" t="s">
        <v>1240</v>
      </c>
      <c r="N74" s="261">
        <v>2011</v>
      </c>
      <c r="O74" s="262" t="s">
        <v>145</v>
      </c>
    </row>
    <row r="75" spans="1:18" ht="33.75">
      <c r="A75" s="135">
        <v>74</v>
      </c>
      <c r="B75" s="241">
        <v>242</v>
      </c>
      <c r="C75" s="245" t="s">
        <v>1251</v>
      </c>
      <c r="D75" s="27" t="s">
        <v>1252</v>
      </c>
      <c r="E75" s="198" t="s">
        <v>440</v>
      </c>
      <c r="F75" s="241" t="s">
        <v>441</v>
      </c>
      <c r="G75" s="27" t="s">
        <v>210</v>
      </c>
      <c r="H75" s="27"/>
      <c r="I75" s="259">
        <v>617</v>
      </c>
      <c r="J75" s="267">
        <v>83.91</v>
      </c>
      <c r="K75" s="190" t="s">
        <v>38</v>
      </c>
      <c r="L75" s="194" t="s">
        <v>39</v>
      </c>
      <c r="M75" s="261" t="s">
        <v>1255</v>
      </c>
      <c r="N75" s="261">
        <v>2010</v>
      </c>
      <c r="O75" s="262" t="s">
        <v>513</v>
      </c>
    </row>
    <row r="76" spans="1:18" ht="45">
      <c r="A76" s="135">
        <v>75</v>
      </c>
      <c r="B76" s="241">
        <v>288</v>
      </c>
      <c r="C76" s="245" t="s">
        <v>1446</v>
      </c>
      <c r="D76" s="278" t="s">
        <v>1447</v>
      </c>
      <c r="E76" s="198" t="s">
        <v>496</v>
      </c>
      <c r="F76" s="241" t="s">
        <v>497</v>
      </c>
      <c r="G76" s="27" t="s">
        <v>155</v>
      </c>
      <c r="H76" s="27"/>
      <c r="I76" s="259">
        <v>890.55</v>
      </c>
      <c r="J76" s="274">
        <v>0</v>
      </c>
      <c r="K76" s="194" t="s">
        <v>38</v>
      </c>
      <c r="L76" s="205" t="s">
        <v>276</v>
      </c>
      <c r="M76" s="198" t="s">
        <v>1450</v>
      </c>
      <c r="N76" s="198">
        <v>2015</v>
      </c>
      <c r="O76" s="198" t="s">
        <v>817</v>
      </c>
    </row>
    <row r="77" spans="1:18" ht="86.25" customHeight="1">
      <c r="A77" s="135">
        <v>76</v>
      </c>
      <c r="B77" s="241">
        <v>331</v>
      </c>
      <c r="C77" s="279" t="s">
        <v>1643</v>
      </c>
      <c r="D77" s="278" t="s">
        <v>1644</v>
      </c>
      <c r="E77" s="27" t="s">
        <v>440</v>
      </c>
      <c r="F77" s="27" t="s">
        <v>441</v>
      </c>
      <c r="G77" s="27" t="s">
        <v>155</v>
      </c>
      <c r="H77" s="27"/>
      <c r="I77" s="268">
        <v>8.94</v>
      </c>
      <c r="J77" s="308">
        <v>0</v>
      </c>
      <c r="K77" s="194" t="s">
        <v>38</v>
      </c>
      <c r="L77" s="205" t="s">
        <v>276</v>
      </c>
      <c r="M77" s="198" t="s">
        <v>2483</v>
      </c>
      <c r="N77" s="198">
        <v>2017</v>
      </c>
      <c r="O77" s="198" t="s">
        <v>1649</v>
      </c>
      <c r="Q77" s="328"/>
      <c r="R77" s="120"/>
    </row>
    <row r="78" spans="1:18">
      <c r="I78" s="309">
        <f>SUM(I2:I77)</f>
        <v>3833444.8119999995</v>
      </c>
      <c r="J78" s="310">
        <f>SUM(J2:J77)</f>
        <v>3216801.7119999989</v>
      </c>
      <c r="L78" s="311">
        <f>(J78*100)/'LISTADO SIGAP'!K358</f>
        <v>92.662242755252791</v>
      </c>
      <c r="M78" s="312" t="s">
        <v>2484</v>
      </c>
    </row>
    <row r="79" spans="1:18">
      <c r="I79" s="311"/>
      <c r="J79" s="311"/>
      <c r="L79" s="311"/>
      <c r="M79" s="312"/>
    </row>
    <row r="80" spans="1:18" ht="51">
      <c r="B80" s="166">
        <v>7</v>
      </c>
      <c r="C80" s="45" t="s">
        <v>86</v>
      </c>
      <c r="D80" s="170" t="s">
        <v>87</v>
      </c>
      <c r="E80" s="148" t="s">
        <v>48</v>
      </c>
      <c r="F80" s="166" t="s">
        <v>49</v>
      </c>
      <c r="G80" s="148" t="s">
        <v>32</v>
      </c>
      <c r="I80" s="313">
        <v>34934</v>
      </c>
      <c r="J80" s="314">
        <v>0</v>
      </c>
      <c r="K80" s="198" t="s">
        <v>89</v>
      </c>
      <c r="L80" s="199" t="s">
        <v>90</v>
      </c>
      <c r="M80" s="312"/>
    </row>
    <row r="81" spans="2:13" ht="25.5">
      <c r="B81" s="166">
        <v>24</v>
      </c>
      <c r="C81" s="45" t="s">
        <v>186</v>
      </c>
      <c r="D81" s="170" t="s">
        <v>187</v>
      </c>
      <c r="E81" s="148" t="s">
        <v>30</v>
      </c>
      <c r="F81" s="166" t="s">
        <v>31</v>
      </c>
      <c r="G81" s="148" t="s">
        <v>188</v>
      </c>
      <c r="I81" s="313">
        <v>73</v>
      </c>
      <c r="J81" s="315">
        <v>73</v>
      </c>
      <c r="K81" s="198" t="s">
        <v>89</v>
      </c>
      <c r="L81" s="199" t="s">
        <v>90</v>
      </c>
      <c r="M81" s="312"/>
    </row>
    <row r="82" spans="2:13" ht="51">
      <c r="B82" s="166">
        <v>49</v>
      </c>
      <c r="C82" s="45" t="s">
        <v>319</v>
      </c>
      <c r="D82" s="170" t="s">
        <v>320</v>
      </c>
      <c r="E82" s="148" t="s">
        <v>30</v>
      </c>
      <c r="F82" s="166" t="s">
        <v>31</v>
      </c>
      <c r="G82" s="148" t="s">
        <v>321</v>
      </c>
      <c r="I82" s="316">
        <v>1049.5181829999999</v>
      </c>
      <c r="J82" s="317">
        <v>1049.5181829999999</v>
      </c>
      <c r="K82" s="198" t="s">
        <v>89</v>
      </c>
      <c r="L82" s="199" t="s">
        <v>90</v>
      </c>
      <c r="M82" s="312"/>
    </row>
    <row r="83" spans="2:13" ht="25.5">
      <c r="B83" s="166">
        <v>68</v>
      </c>
      <c r="C83" s="45" t="s">
        <v>418</v>
      </c>
      <c r="D83" s="170" t="s">
        <v>419</v>
      </c>
      <c r="E83" s="148" t="s">
        <v>105</v>
      </c>
      <c r="F83" s="166" t="s">
        <v>106</v>
      </c>
      <c r="G83" s="148" t="s">
        <v>172</v>
      </c>
      <c r="I83" s="313">
        <v>22114.45</v>
      </c>
      <c r="J83" s="318">
        <v>22114.45</v>
      </c>
      <c r="K83" s="198" t="s">
        <v>89</v>
      </c>
      <c r="L83" s="199" t="s">
        <v>90</v>
      </c>
      <c r="M83" s="312"/>
    </row>
    <row r="84" spans="2:13" ht="51">
      <c r="B84" s="166">
        <v>82</v>
      </c>
      <c r="C84" s="45" t="s">
        <v>501</v>
      </c>
      <c r="D84" s="170" t="s">
        <v>502</v>
      </c>
      <c r="E84" s="148" t="s">
        <v>496</v>
      </c>
      <c r="F84" s="280" t="s">
        <v>497</v>
      </c>
      <c r="G84" s="53" t="s">
        <v>164</v>
      </c>
      <c r="I84" s="313">
        <v>4325</v>
      </c>
      <c r="J84" s="318">
        <v>4325</v>
      </c>
      <c r="K84" s="198" t="s">
        <v>89</v>
      </c>
      <c r="L84" s="199" t="s">
        <v>90</v>
      </c>
      <c r="M84" s="312"/>
    </row>
    <row r="85" spans="2:13" ht="38.25">
      <c r="B85" s="166">
        <v>145</v>
      </c>
      <c r="C85" s="45" t="s">
        <v>824</v>
      </c>
      <c r="D85" s="281" t="s">
        <v>825</v>
      </c>
      <c r="E85" s="53" t="s">
        <v>403</v>
      </c>
      <c r="F85" s="166" t="s">
        <v>127</v>
      </c>
      <c r="G85" s="197" t="s">
        <v>210</v>
      </c>
      <c r="I85" s="313">
        <v>35202</v>
      </c>
      <c r="J85" s="319">
        <v>35202</v>
      </c>
      <c r="K85" s="194" t="s">
        <v>89</v>
      </c>
      <c r="L85" s="199" t="s">
        <v>90</v>
      </c>
      <c r="M85" s="312"/>
    </row>
    <row r="86" spans="2:13" ht="25.5">
      <c r="B86" s="166">
        <v>147</v>
      </c>
      <c r="C86" s="45" t="s">
        <v>838</v>
      </c>
      <c r="D86" s="234" t="s">
        <v>839</v>
      </c>
      <c r="E86" s="282" t="s">
        <v>840</v>
      </c>
      <c r="F86" s="166" t="s">
        <v>49</v>
      </c>
      <c r="G86" s="197" t="s">
        <v>180</v>
      </c>
      <c r="I86" s="320">
        <v>1837.55</v>
      </c>
      <c r="J86" s="321">
        <v>1837.55</v>
      </c>
      <c r="K86" s="198" t="s">
        <v>89</v>
      </c>
      <c r="L86" s="199" t="s">
        <v>90</v>
      </c>
      <c r="M86" s="312"/>
    </row>
    <row r="87" spans="2:13" ht="51">
      <c r="B87" s="166">
        <v>150</v>
      </c>
      <c r="C87" s="47" t="s">
        <v>854</v>
      </c>
      <c r="D87" s="234" t="s">
        <v>855</v>
      </c>
      <c r="E87" s="53" t="s">
        <v>856</v>
      </c>
      <c r="F87" s="239" t="s">
        <v>497</v>
      </c>
      <c r="G87" s="53" t="s">
        <v>180</v>
      </c>
      <c r="I87" s="320">
        <v>38.28</v>
      </c>
      <c r="J87" s="321">
        <v>38.28</v>
      </c>
      <c r="K87" s="198" t="s">
        <v>89</v>
      </c>
      <c r="L87" s="199" t="s">
        <v>90</v>
      </c>
      <c r="M87" s="312"/>
    </row>
    <row r="88" spans="2:13" ht="38.25">
      <c r="B88" s="166">
        <v>331</v>
      </c>
      <c r="C88" s="220" t="s">
        <v>1650</v>
      </c>
      <c r="D88" s="234" t="s">
        <v>1651</v>
      </c>
      <c r="E88" s="53" t="s">
        <v>1652</v>
      </c>
      <c r="F88" s="53" t="s">
        <v>127</v>
      </c>
      <c r="G88" s="54" t="s">
        <v>188</v>
      </c>
      <c r="I88" s="322">
        <v>7231.66</v>
      </c>
      <c r="J88" s="323">
        <v>7231.66</v>
      </c>
      <c r="K88" s="27" t="s">
        <v>89</v>
      </c>
      <c r="L88" s="54" t="s">
        <v>90</v>
      </c>
      <c r="M88" s="312"/>
    </row>
    <row r="93" spans="2:13" ht="33.75">
      <c r="D93" s="283" t="s">
        <v>2485</v>
      </c>
      <c r="E93" s="284" t="s">
        <v>2486</v>
      </c>
      <c r="F93" s="285" t="s">
        <v>100</v>
      </c>
      <c r="G93" s="286" t="s">
        <v>2487</v>
      </c>
      <c r="H93" s="286"/>
      <c r="I93" s="286" t="s">
        <v>2488</v>
      </c>
      <c r="J93" s="324" t="s">
        <v>2489</v>
      </c>
    </row>
    <row r="94" spans="2:13">
      <c r="D94" s="124" t="s">
        <v>2490</v>
      </c>
      <c r="E94" s="287">
        <v>9</v>
      </c>
      <c r="F94" s="288" t="s">
        <v>2491</v>
      </c>
      <c r="G94" s="288">
        <v>5</v>
      </c>
      <c r="H94" s="288"/>
      <c r="I94" s="288">
        <v>4</v>
      </c>
      <c r="J94" s="125">
        <v>0</v>
      </c>
    </row>
    <row r="95" spans="2:13">
      <c r="D95" s="127" t="s">
        <v>2492</v>
      </c>
      <c r="E95" s="289">
        <v>1</v>
      </c>
      <c r="F95" s="135">
        <v>0</v>
      </c>
      <c r="G95" s="135">
        <v>0</v>
      </c>
      <c r="H95" s="135"/>
      <c r="I95" s="135">
        <v>1</v>
      </c>
      <c r="J95" s="128">
        <v>0</v>
      </c>
    </row>
    <row r="96" spans="2:13">
      <c r="D96" s="127" t="s">
        <v>2493</v>
      </c>
      <c r="E96" s="289">
        <v>4</v>
      </c>
      <c r="F96" s="135">
        <v>0</v>
      </c>
      <c r="G96" s="135">
        <v>2</v>
      </c>
      <c r="H96" s="135"/>
      <c r="I96" s="135">
        <v>2</v>
      </c>
      <c r="J96" s="128">
        <v>0</v>
      </c>
    </row>
    <row r="97" spans="4:13">
      <c r="D97" s="127" t="s">
        <v>2494</v>
      </c>
      <c r="E97" s="289">
        <v>3</v>
      </c>
      <c r="F97" s="135">
        <v>0</v>
      </c>
      <c r="G97" s="135">
        <v>0</v>
      </c>
      <c r="H97" s="135"/>
      <c r="I97" s="135">
        <v>3</v>
      </c>
      <c r="J97" s="128">
        <v>0</v>
      </c>
    </row>
    <row r="98" spans="4:13">
      <c r="D98" s="127" t="s">
        <v>2495</v>
      </c>
      <c r="E98" s="289">
        <v>3</v>
      </c>
      <c r="F98" s="135">
        <v>0</v>
      </c>
      <c r="G98" s="135">
        <v>1</v>
      </c>
      <c r="H98" s="135"/>
      <c r="I98" s="135">
        <v>2</v>
      </c>
      <c r="J98" s="128">
        <v>0</v>
      </c>
    </row>
    <row r="99" spans="4:13">
      <c r="D99" s="290" t="s">
        <v>2496</v>
      </c>
      <c r="E99" s="289">
        <v>1</v>
      </c>
      <c r="F99" s="135">
        <v>0</v>
      </c>
      <c r="G99" s="135">
        <v>0</v>
      </c>
      <c r="H99" s="135"/>
      <c r="I99" s="135">
        <v>1</v>
      </c>
      <c r="J99" s="128">
        <v>0</v>
      </c>
    </row>
    <row r="100" spans="4:13">
      <c r="D100" s="127" t="s">
        <v>2497</v>
      </c>
      <c r="E100" s="289">
        <v>6</v>
      </c>
      <c r="F100" s="135">
        <v>0</v>
      </c>
      <c r="G100" s="135">
        <v>2</v>
      </c>
      <c r="H100" s="135"/>
      <c r="I100" s="135">
        <v>4</v>
      </c>
      <c r="J100" s="128">
        <v>0</v>
      </c>
    </row>
    <row r="101" spans="4:13">
      <c r="D101" s="127" t="s">
        <v>2498</v>
      </c>
      <c r="E101" s="289">
        <v>1</v>
      </c>
      <c r="F101" s="135">
        <v>0</v>
      </c>
      <c r="G101" s="135">
        <v>1</v>
      </c>
      <c r="H101" s="135"/>
      <c r="I101" s="135">
        <v>0</v>
      </c>
      <c r="J101" s="128">
        <v>0</v>
      </c>
    </row>
    <row r="102" spans="4:13">
      <c r="D102" s="127" t="s">
        <v>2499</v>
      </c>
      <c r="E102" s="289">
        <v>1</v>
      </c>
      <c r="F102" s="135">
        <v>0</v>
      </c>
      <c r="G102" s="135">
        <v>0</v>
      </c>
      <c r="H102" s="135"/>
      <c r="I102" s="135">
        <v>1</v>
      </c>
      <c r="J102" s="128">
        <v>0</v>
      </c>
    </row>
    <row r="103" spans="4:13">
      <c r="D103" s="127" t="s">
        <v>2500</v>
      </c>
      <c r="E103" s="289">
        <v>18</v>
      </c>
      <c r="F103" s="135">
        <v>2</v>
      </c>
      <c r="G103" s="135">
        <v>0</v>
      </c>
      <c r="H103" s="135"/>
      <c r="I103" s="135">
        <v>14</v>
      </c>
      <c r="J103" s="128">
        <v>2</v>
      </c>
    </row>
    <row r="104" spans="4:13">
      <c r="D104" s="127" t="s">
        <v>2017</v>
      </c>
      <c r="E104" s="291">
        <v>26</v>
      </c>
      <c r="F104" s="292">
        <v>0</v>
      </c>
      <c r="G104" s="135">
        <v>0</v>
      </c>
      <c r="H104" s="135"/>
      <c r="I104" s="135">
        <v>25</v>
      </c>
      <c r="J104" s="128">
        <v>1</v>
      </c>
    </row>
    <row r="105" spans="4:13">
      <c r="D105" s="127" t="s">
        <v>2501</v>
      </c>
      <c r="E105" s="291">
        <v>3</v>
      </c>
      <c r="F105" s="292">
        <v>1</v>
      </c>
      <c r="G105" s="135">
        <v>1</v>
      </c>
      <c r="H105" s="135"/>
      <c r="I105" s="135">
        <v>1</v>
      </c>
      <c r="J105" s="128">
        <v>0</v>
      </c>
    </row>
    <row r="106" spans="4:13">
      <c r="D106" s="293" t="s">
        <v>2024</v>
      </c>
      <c r="E106" s="294">
        <v>1</v>
      </c>
      <c r="F106" s="295">
        <v>0</v>
      </c>
      <c r="G106" s="296">
        <v>0</v>
      </c>
      <c r="H106" s="296"/>
      <c r="I106" s="296">
        <v>0</v>
      </c>
      <c r="J106" s="325">
        <v>1</v>
      </c>
    </row>
    <row r="107" spans="4:13">
      <c r="D107" s="297"/>
      <c r="E107" s="298">
        <f>SUBTOTAL(9,E94:E106)</f>
        <v>77</v>
      </c>
      <c r="F107" s="298">
        <f t="shared" ref="F107:G107" si="0">SUM(F94:F106)</f>
        <v>3</v>
      </c>
      <c r="G107" s="298">
        <f t="shared" si="0"/>
        <v>12</v>
      </c>
      <c r="H107" s="298"/>
      <c r="I107" s="298">
        <f>SUM(I94:I106)</f>
        <v>58</v>
      </c>
      <c r="J107" s="326">
        <f>SUM(J94:J106)</f>
        <v>4</v>
      </c>
      <c r="K107" s="327"/>
      <c r="M107" s="120"/>
    </row>
    <row r="108" spans="4:13">
      <c r="D108" s="120"/>
      <c r="E108" s="120"/>
      <c r="F108" s="120"/>
      <c r="G108" s="120"/>
      <c r="H108" s="120"/>
      <c r="I108" s="120"/>
      <c r="J108" s="120"/>
      <c r="K108" s="120"/>
    </row>
    <row r="109" spans="4:13">
      <c r="D109" s="120"/>
      <c r="E109" s="120"/>
      <c r="F109" s="120"/>
      <c r="G109" s="120"/>
      <c r="H109" s="120"/>
      <c r="I109" s="120"/>
      <c r="J109" s="120"/>
      <c r="K109" s="120"/>
    </row>
    <row r="110" spans="4:13">
      <c r="D110" s="120"/>
      <c r="E110" s="120"/>
      <c r="F110" s="120"/>
      <c r="G110" s="120"/>
      <c r="H110" s="120"/>
      <c r="I110" s="120"/>
      <c r="J110" s="120"/>
      <c r="K110" s="120"/>
    </row>
    <row r="111" spans="4:13" ht="22.5">
      <c r="D111" s="299" t="s">
        <v>2017</v>
      </c>
      <c r="E111" s="300" t="s">
        <v>2502</v>
      </c>
      <c r="F111" s="300" t="s">
        <v>2503</v>
      </c>
      <c r="G111" s="301">
        <v>38078</v>
      </c>
      <c r="H111" s="302"/>
      <c r="I111" s="120"/>
      <c r="J111" s="120"/>
      <c r="K111" s="120"/>
    </row>
    <row r="112" spans="4:13" ht="22.5">
      <c r="D112" s="290" t="s">
        <v>2017</v>
      </c>
      <c r="E112" s="198" t="s">
        <v>2504</v>
      </c>
      <c r="F112" s="198" t="s">
        <v>2503</v>
      </c>
      <c r="G112" s="303">
        <v>38078</v>
      </c>
      <c r="H112" s="302"/>
      <c r="I112" s="120"/>
      <c r="J112" s="120"/>
      <c r="K112" s="120"/>
    </row>
    <row r="113" spans="4:11" ht="22.5">
      <c r="D113" s="290" t="s">
        <v>2017</v>
      </c>
      <c r="E113" s="198" t="s">
        <v>2505</v>
      </c>
      <c r="F113" s="198" t="s">
        <v>2503</v>
      </c>
      <c r="G113" s="303">
        <v>38078</v>
      </c>
      <c r="H113" s="302"/>
      <c r="I113" s="120"/>
      <c r="J113" s="120"/>
      <c r="K113" s="120"/>
    </row>
    <row r="114" spans="4:11" ht="33.75">
      <c r="D114" s="290" t="s">
        <v>2017</v>
      </c>
      <c r="E114" s="198" t="s">
        <v>2506</v>
      </c>
      <c r="F114" s="198" t="s">
        <v>2503</v>
      </c>
      <c r="G114" s="303">
        <v>38078</v>
      </c>
      <c r="H114" s="302"/>
    </row>
    <row r="115" spans="4:11" ht="33.75">
      <c r="D115" s="290" t="s">
        <v>2017</v>
      </c>
      <c r="E115" s="198" t="s">
        <v>2507</v>
      </c>
      <c r="F115" s="198" t="s">
        <v>2503</v>
      </c>
      <c r="G115" s="303">
        <v>38078</v>
      </c>
      <c r="H115" s="302"/>
    </row>
    <row r="116" spans="4:11" ht="22.5">
      <c r="D116" s="304" t="s">
        <v>2017</v>
      </c>
      <c r="E116" s="305" t="s">
        <v>2508</v>
      </c>
      <c r="F116" s="306" t="s">
        <v>2503</v>
      </c>
      <c r="G116" s="307">
        <v>38078</v>
      </c>
      <c r="H116" s="302"/>
    </row>
  </sheetData>
  <autoFilter ref="A1:O78" xr:uid="{00000000-0009-0000-0000-000017000000}"/>
  <printOptions horizontalCentered="1" verticalCentered="1"/>
  <pageMargins left="0.51180555555555596" right="0.51180555555555596" top="0.55000000000000004" bottom="0.55000000000000004" header="0.31388888888888899" footer="0.31388888888888899"/>
  <pageSetup scale="75" orientation="portrait"/>
  <drawing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filterMode="1">
    <tabColor rgb="FFFFFF00"/>
  </sheetPr>
  <dimension ref="A1:AD86"/>
  <sheetViews>
    <sheetView zoomScale="90" zoomScaleNormal="90" workbookViewId="0">
      <pane ySplit="2" topLeftCell="A13" activePane="bottomLeft" state="frozen"/>
      <selection pane="bottomLeft" activeCell="D13" sqref="D13"/>
    </sheetView>
  </sheetViews>
  <sheetFormatPr baseColWidth="10" defaultColWidth="9" defaultRowHeight="15"/>
  <cols>
    <col min="1" max="1" width="10.42578125" customWidth="1"/>
    <col min="2" max="2" width="9.5703125" customWidth="1"/>
    <col min="3" max="3" width="9.7109375" customWidth="1"/>
    <col min="4" max="4" width="11.28515625" customWidth="1"/>
    <col min="5" max="5" width="11.42578125" customWidth="1"/>
    <col min="6" max="9" width="9" hidden="1" customWidth="1"/>
    <col min="10" max="10" width="11.85546875" customWidth="1"/>
    <col min="11" max="11" width="11.140625" customWidth="1"/>
    <col min="12" max="12" width="12.42578125" customWidth="1"/>
    <col min="13" max="13" width="10.140625" customWidth="1"/>
    <col min="14" max="14" width="9" hidden="1" customWidth="1"/>
    <col min="15" max="15" width="14.42578125" customWidth="1"/>
    <col min="16" max="16" width="14.42578125" hidden="1" customWidth="1"/>
    <col min="17" max="17" width="13.28515625" hidden="1" customWidth="1"/>
    <col min="18" max="21" width="9" hidden="1" customWidth="1"/>
    <col min="22" max="22" width="12.28515625" hidden="1" customWidth="1"/>
    <col min="23" max="23" width="13.7109375" customWidth="1"/>
    <col min="24" max="24" width="13.5703125" customWidth="1"/>
    <col min="25" max="25" width="11.28515625" customWidth="1"/>
    <col min="26" max="26" width="9" hidden="1" customWidth="1"/>
    <col min="29" max="29" width="15.42578125" customWidth="1"/>
    <col min="30" max="30" width="13.5703125" customWidth="1"/>
  </cols>
  <sheetData>
    <row r="1" spans="1:30" ht="26.25">
      <c r="A1" s="1203" t="s">
        <v>2509</v>
      </c>
      <c r="B1" s="1203"/>
      <c r="C1" s="1203"/>
      <c r="D1" s="1203"/>
      <c r="E1" s="1203"/>
      <c r="F1" s="1203"/>
      <c r="G1" s="1203"/>
      <c r="H1" s="1203"/>
      <c r="I1" s="1203"/>
      <c r="J1" s="1203"/>
      <c r="K1" s="1203"/>
      <c r="L1" s="1203"/>
      <c r="M1" s="1203"/>
      <c r="N1" s="1203"/>
      <c r="O1" s="1203"/>
      <c r="P1" s="1203"/>
      <c r="Q1" s="1203"/>
      <c r="R1" s="1203"/>
      <c r="S1" s="1203"/>
      <c r="T1" s="1203"/>
      <c r="U1" s="1203"/>
      <c r="V1" s="1203"/>
      <c r="W1" s="1203"/>
      <c r="X1" s="1203"/>
      <c r="Y1" s="1203"/>
      <c r="Z1" s="1203"/>
      <c r="AA1" s="1203"/>
      <c r="AB1" s="1203"/>
      <c r="AC1" s="1203"/>
      <c r="AD1" s="1203"/>
    </row>
    <row r="2" spans="1:30" ht="60">
      <c r="A2" s="162" t="s">
        <v>2510</v>
      </c>
      <c r="B2" s="163" t="s">
        <v>2511</v>
      </c>
      <c r="C2" s="163" t="s">
        <v>2512</v>
      </c>
      <c r="D2" s="163" t="s">
        <v>2</v>
      </c>
      <c r="E2" s="163" t="s">
        <v>3</v>
      </c>
      <c r="F2" s="164" t="s">
        <v>4</v>
      </c>
      <c r="G2" s="164" t="s">
        <v>5</v>
      </c>
      <c r="H2" s="164" t="s">
        <v>6</v>
      </c>
      <c r="I2" s="164" t="s">
        <v>7</v>
      </c>
      <c r="J2" s="163" t="s">
        <v>8</v>
      </c>
      <c r="K2" s="163" t="s">
        <v>9</v>
      </c>
      <c r="L2" s="163" t="s">
        <v>11</v>
      </c>
      <c r="M2" s="163" t="s">
        <v>12</v>
      </c>
      <c r="N2" s="171" t="s">
        <v>13</v>
      </c>
      <c r="O2" s="163" t="s">
        <v>14</v>
      </c>
      <c r="P2" s="164" t="s">
        <v>15</v>
      </c>
      <c r="Q2" s="184" t="s">
        <v>16</v>
      </c>
      <c r="R2" s="185" t="s">
        <v>17</v>
      </c>
      <c r="S2" s="164" t="s">
        <v>18</v>
      </c>
      <c r="T2" s="186" t="s">
        <v>19</v>
      </c>
      <c r="U2" s="186" t="s">
        <v>20</v>
      </c>
      <c r="V2" s="164" t="s">
        <v>21</v>
      </c>
      <c r="W2" s="187" t="s">
        <v>22</v>
      </c>
      <c r="X2" s="188" t="s">
        <v>23</v>
      </c>
      <c r="Y2" s="207" t="s">
        <v>25</v>
      </c>
      <c r="Z2" s="208" t="s">
        <v>26</v>
      </c>
      <c r="AA2" s="209" t="s">
        <v>2513</v>
      </c>
      <c r="AB2" s="209" t="s">
        <v>2248</v>
      </c>
      <c r="AC2" s="209" t="s">
        <v>2514</v>
      </c>
      <c r="AD2" s="210" t="s">
        <v>2515</v>
      </c>
    </row>
    <row r="3" spans="1:30" ht="63.75" hidden="1">
      <c r="A3" s="165">
        <v>1</v>
      </c>
      <c r="B3" s="165"/>
      <c r="C3" s="45" t="s">
        <v>28</v>
      </c>
      <c r="D3" s="43" t="s">
        <v>29</v>
      </c>
      <c r="E3" s="43" t="s">
        <v>30</v>
      </c>
      <c r="F3" s="44" t="s">
        <v>31</v>
      </c>
      <c r="G3" s="43" t="s">
        <v>32</v>
      </c>
      <c r="H3" s="43" t="s">
        <v>33</v>
      </c>
      <c r="I3" s="43" t="s">
        <v>32</v>
      </c>
      <c r="J3" s="172">
        <v>55005</v>
      </c>
      <c r="K3" s="173">
        <v>0</v>
      </c>
      <c r="L3" s="43" t="s">
        <v>34</v>
      </c>
      <c r="M3" s="44">
        <v>1955</v>
      </c>
      <c r="N3" s="174" t="s">
        <v>35</v>
      </c>
      <c r="O3" s="175" t="s">
        <v>36</v>
      </c>
      <c r="P3" s="176" t="s">
        <v>37</v>
      </c>
      <c r="Q3" s="189"/>
      <c r="R3" s="190" t="s">
        <v>38</v>
      </c>
      <c r="S3" s="190" t="s">
        <v>39</v>
      </c>
      <c r="T3" s="191" t="s">
        <v>40</v>
      </c>
      <c r="U3" s="191">
        <v>2004</v>
      </c>
      <c r="V3" s="192" t="s">
        <v>41</v>
      </c>
      <c r="W3" s="193" t="s">
        <v>42</v>
      </c>
      <c r="X3" s="176" t="s">
        <v>43</v>
      </c>
      <c r="Y3" s="43" t="s">
        <v>2516</v>
      </c>
      <c r="Z3" s="211" t="s">
        <v>2517</v>
      </c>
      <c r="AA3" s="44"/>
      <c r="AB3" s="212"/>
      <c r="AC3" s="212"/>
      <c r="AD3" s="212"/>
    </row>
    <row r="4" spans="1:30" ht="76.5" hidden="1">
      <c r="A4" s="166">
        <v>2</v>
      </c>
      <c r="B4" s="166"/>
      <c r="C4" s="47" t="s">
        <v>46</v>
      </c>
      <c r="D4" s="11" t="s">
        <v>47</v>
      </c>
      <c r="E4" s="11" t="s">
        <v>48</v>
      </c>
      <c r="F4" s="12" t="s">
        <v>49</v>
      </c>
      <c r="G4" s="11" t="s">
        <v>32</v>
      </c>
      <c r="H4" s="11" t="s">
        <v>33</v>
      </c>
      <c r="I4" s="11" t="s">
        <v>32</v>
      </c>
      <c r="J4" s="26">
        <v>734.77</v>
      </c>
      <c r="K4" s="177">
        <v>0</v>
      </c>
      <c r="L4" s="11" t="s">
        <v>60</v>
      </c>
      <c r="M4" s="12">
        <v>1989</v>
      </c>
      <c r="N4" s="174" t="s">
        <v>35</v>
      </c>
      <c r="O4" s="10" t="s">
        <v>51</v>
      </c>
      <c r="P4" s="27" t="s">
        <v>52</v>
      </c>
      <c r="Q4" s="27"/>
      <c r="R4" s="190" t="s">
        <v>38</v>
      </c>
      <c r="S4" s="194" t="s">
        <v>53</v>
      </c>
      <c r="T4" s="195" t="s">
        <v>54</v>
      </c>
      <c r="U4" s="195">
        <v>2003</v>
      </c>
      <c r="V4" s="196" t="s">
        <v>55</v>
      </c>
      <c r="W4" s="65" t="s">
        <v>42</v>
      </c>
      <c r="X4" s="27" t="s">
        <v>43</v>
      </c>
      <c r="Y4" s="148" t="s">
        <v>56</v>
      </c>
      <c r="Z4" s="213"/>
      <c r="AA4" s="12"/>
      <c r="AB4" s="29"/>
      <c r="AC4" s="29"/>
      <c r="AD4" s="29"/>
    </row>
    <row r="5" spans="1:30" ht="120">
      <c r="A5" s="166">
        <v>3</v>
      </c>
      <c r="B5" s="165">
        <v>1</v>
      </c>
      <c r="C5" s="167" t="s">
        <v>57</v>
      </c>
      <c r="D5" s="10" t="s">
        <v>58</v>
      </c>
      <c r="E5" s="10" t="s">
        <v>30</v>
      </c>
      <c r="F5" s="166" t="s">
        <v>31</v>
      </c>
      <c r="G5" s="148" t="s">
        <v>32</v>
      </c>
      <c r="H5" s="148" t="s">
        <v>59</v>
      </c>
      <c r="I5" s="148" t="s">
        <v>32</v>
      </c>
      <c r="J5" s="26">
        <v>202865</v>
      </c>
      <c r="K5" s="178">
        <v>0</v>
      </c>
      <c r="L5" s="10" t="s">
        <v>60</v>
      </c>
      <c r="M5" s="67">
        <v>1990</v>
      </c>
      <c r="N5" s="179" t="s">
        <v>35</v>
      </c>
      <c r="O5" s="10" t="s">
        <v>61</v>
      </c>
      <c r="P5" s="27" t="s">
        <v>62</v>
      </c>
      <c r="Q5" s="53" t="s">
        <v>63</v>
      </c>
      <c r="R5" s="190" t="s">
        <v>38</v>
      </c>
      <c r="S5" s="194" t="s">
        <v>53</v>
      </c>
      <c r="T5" s="195" t="s">
        <v>64</v>
      </c>
      <c r="U5" s="195">
        <v>2006</v>
      </c>
      <c r="V5" s="196" t="s">
        <v>65</v>
      </c>
      <c r="W5" s="54" t="s">
        <v>66</v>
      </c>
      <c r="X5" s="137" t="s">
        <v>43</v>
      </c>
      <c r="Y5" s="10" t="s">
        <v>68</v>
      </c>
      <c r="Z5" s="148" t="s">
        <v>69</v>
      </c>
      <c r="AA5" s="148"/>
      <c r="AB5" s="29"/>
      <c r="AC5" s="29"/>
      <c r="AD5" s="96" t="s">
        <v>2518</v>
      </c>
    </row>
    <row r="6" spans="1:30" ht="120">
      <c r="A6" s="166">
        <v>4</v>
      </c>
      <c r="B6" s="166">
        <v>2</v>
      </c>
      <c r="C6" s="69" t="s">
        <v>70</v>
      </c>
      <c r="D6" s="10" t="s">
        <v>2519</v>
      </c>
      <c r="E6" s="10" t="s">
        <v>30</v>
      </c>
      <c r="F6" s="166" t="s">
        <v>31</v>
      </c>
      <c r="G6" s="148" t="s">
        <v>32</v>
      </c>
      <c r="H6" s="148" t="s">
        <v>72</v>
      </c>
      <c r="I6" s="148" t="s">
        <v>32</v>
      </c>
      <c r="J6" s="26">
        <v>289912</v>
      </c>
      <c r="K6" s="178">
        <v>0</v>
      </c>
      <c r="L6" s="10" t="s">
        <v>60</v>
      </c>
      <c r="M6" s="67">
        <v>1990</v>
      </c>
      <c r="N6" s="179" t="s">
        <v>35</v>
      </c>
      <c r="O6" s="10" t="s">
        <v>73</v>
      </c>
      <c r="P6" s="27" t="s">
        <v>74</v>
      </c>
      <c r="Q6" s="50" t="s">
        <v>75</v>
      </c>
      <c r="R6" s="190" t="s">
        <v>38</v>
      </c>
      <c r="S6" s="194" t="s">
        <v>39</v>
      </c>
      <c r="T6" s="195" t="s">
        <v>76</v>
      </c>
      <c r="U6" s="195">
        <v>2010</v>
      </c>
      <c r="V6" s="196" t="s">
        <v>77</v>
      </c>
      <c r="W6" s="54" t="s">
        <v>66</v>
      </c>
      <c r="X6" s="137" t="s">
        <v>43</v>
      </c>
      <c r="Y6" s="10" t="s">
        <v>68</v>
      </c>
      <c r="Z6" s="148" t="s">
        <v>69</v>
      </c>
      <c r="AA6" s="148"/>
      <c r="AB6" s="29"/>
      <c r="AC6" s="29"/>
      <c r="AD6" s="96" t="s">
        <v>2518</v>
      </c>
    </row>
    <row r="7" spans="1:30" ht="120">
      <c r="A7" s="166">
        <v>5</v>
      </c>
      <c r="B7" s="165">
        <v>3</v>
      </c>
      <c r="C7" s="167" t="s">
        <v>78</v>
      </c>
      <c r="D7" s="10" t="s">
        <v>2520</v>
      </c>
      <c r="E7" s="10" t="s">
        <v>48</v>
      </c>
      <c r="F7" s="166" t="s">
        <v>49</v>
      </c>
      <c r="G7" s="148" t="s">
        <v>32</v>
      </c>
      <c r="H7" s="148" t="s">
        <v>72</v>
      </c>
      <c r="I7" s="148" t="s">
        <v>32</v>
      </c>
      <c r="J7" s="26">
        <v>45168</v>
      </c>
      <c r="K7" s="178">
        <v>0</v>
      </c>
      <c r="L7" s="10" t="s">
        <v>60</v>
      </c>
      <c r="M7" s="67">
        <v>1990</v>
      </c>
      <c r="N7" s="179" t="s">
        <v>35</v>
      </c>
      <c r="O7" s="10" t="s">
        <v>51</v>
      </c>
      <c r="P7" s="27" t="s">
        <v>37</v>
      </c>
      <c r="Q7" s="27"/>
      <c r="R7" s="190" t="s">
        <v>38</v>
      </c>
      <c r="S7" s="194" t="s">
        <v>39</v>
      </c>
      <c r="T7" s="195" t="s">
        <v>80</v>
      </c>
      <c r="U7" s="195">
        <v>2010</v>
      </c>
      <c r="V7" s="196" t="s">
        <v>77</v>
      </c>
      <c r="W7" s="54" t="s">
        <v>66</v>
      </c>
      <c r="X7" s="137" t="s">
        <v>43</v>
      </c>
      <c r="Y7" s="10" t="s">
        <v>68</v>
      </c>
      <c r="Z7" s="148" t="s">
        <v>69</v>
      </c>
      <c r="AA7" s="148"/>
      <c r="AB7" s="29"/>
      <c r="AC7" s="29"/>
      <c r="AD7" s="96" t="s">
        <v>2518</v>
      </c>
    </row>
    <row r="8" spans="1:30" ht="120">
      <c r="A8" s="166">
        <v>6</v>
      </c>
      <c r="B8" s="166">
        <v>4</v>
      </c>
      <c r="C8" s="69" t="s">
        <v>81</v>
      </c>
      <c r="D8" s="10" t="s">
        <v>82</v>
      </c>
      <c r="E8" s="10" t="s">
        <v>30</v>
      </c>
      <c r="F8" s="166" t="s">
        <v>31</v>
      </c>
      <c r="G8" s="148" t="s">
        <v>32</v>
      </c>
      <c r="H8" s="148" t="s">
        <v>83</v>
      </c>
      <c r="I8" s="148" t="s">
        <v>32</v>
      </c>
      <c r="J8" s="26">
        <v>116911</v>
      </c>
      <c r="K8" s="178">
        <v>0</v>
      </c>
      <c r="L8" s="10" t="s">
        <v>60</v>
      </c>
      <c r="M8" s="67">
        <v>1990</v>
      </c>
      <c r="N8" s="179" t="s">
        <v>35</v>
      </c>
      <c r="O8" s="10" t="s">
        <v>73</v>
      </c>
      <c r="P8" s="27" t="s">
        <v>74</v>
      </c>
      <c r="Q8" s="197"/>
      <c r="R8" s="190" t="s">
        <v>38</v>
      </c>
      <c r="S8" s="194" t="s">
        <v>39</v>
      </c>
      <c r="T8" s="195" t="s">
        <v>84</v>
      </c>
      <c r="U8" s="195">
        <v>2009</v>
      </c>
      <c r="V8" s="196" t="s">
        <v>85</v>
      </c>
      <c r="W8" s="54" t="s">
        <v>66</v>
      </c>
      <c r="X8" s="137" t="s">
        <v>43</v>
      </c>
      <c r="Y8" s="10" t="s">
        <v>68</v>
      </c>
      <c r="Z8" s="148" t="s">
        <v>69</v>
      </c>
      <c r="AA8" s="148"/>
      <c r="AB8" s="29"/>
      <c r="AC8" s="29"/>
      <c r="AD8" s="96" t="s">
        <v>2518</v>
      </c>
    </row>
    <row r="9" spans="1:30" ht="120">
      <c r="A9" s="166">
        <v>7</v>
      </c>
      <c r="B9" s="165">
        <v>5</v>
      </c>
      <c r="C9" s="167" t="s">
        <v>86</v>
      </c>
      <c r="D9" s="10" t="s">
        <v>87</v>
      </c>
      <c r="E9" s="10" t="s">
        <v>48</v>
      </c>
      <c r="F9" s="166" t="s">
        <v>49</v>
      </c>
      <c r="G9" s="148" t="s">
        <v>32</v>
      </c>
      <c r="H9" s="148" t="s">
        <v>88</v>
      </c>
      <c r="I9" s="148" t="s">
        <v>32</v>
      </c>
      <c r="J9" s="26">
        <v>34934</v>
      </c>
      <c r="K9" s="178">
        <v>0</v>
      </c>
      <c r="L9" s="10" t="s">
        <v>60</v>
      </c>
      <c r="M9" s="67">
        <v>1990</v>
      </c>
      <c r="N9" s="179" t="s">
        <v>35</v>
      </c>
      <c r="O9" s="10" t="s">
        <v>51</v>
      </c>
      <c r="P9" s="27" t="s">
        <v>37</v>
      </c>
      <c r="Q9" s="27"/>
      <c r="R9" s="198" t="s">
        <v>89</v>
      </c>
      <c r="S9" s="199" t="s">
        <v>90</v>
      </c>
      <c r="T9" s="148" t="s">
        <v>35</v>
      </c>
      <c r="U9" s="148" t="s">
        <v>35</v>
      </c>
      <c r="V9" s="148" t="s">
        <v>35</v>
      </c>
      <c r="W9" s="54" t="s">
        <v>66</v>
      </c>
      <c r="X9" s="137" t="s">
        <v>43</v>
      </c>
      <c r="Y9" s="10" t="s">
        <v>68</v>
      </c>
      <c r="Z9" s="166" t="s">
        <v>91</v>
      </c>
      <c r="AA9" s="166"/>
      <c r="AB9" s="29"/>
      <c r="AC9" s="29"/>
      <c r="AD9" s="96" t="s">
        <v>2518</v>
      </c>
    </row>
    <row r="10" spans="1:30" ht="120">
      <c r="A10" s="166">
        <v>8</v>
      </c>
      <c r="B10" s="166">
        <v>6</v>
      </c>
      <c r="C10" s="69" t="s">
        <v>92</v>
      </c>
      <c r="D10" s="10" t="s">
        <v>93</v>
      </c>
      <c r="E10" s="10" t="s">
        <v>48</v>
      </c>
      <c r="F10" s="166" t="s">
        <v>49</v>
      </c>
      <c r="G10" s="148" t="s">
        <v>32</v>
      </c>
      <c r="H10" s="148" t="s">
        <v>94</v>
      </c>
      <c r="I10" s="148" t="s">
        <v>32</v>
      </c>
      <c r="J10" s="26">
        <v>30719</v>
      </c>
      <c r="K10" s="178">
        <v>0</v>
      </c>
      <c r="L10" s="10" t="s">
        <v>60</v>
      </c>
      <c r="M10" s="67">
        <v>1990</v>
      </c>
      <c r="N10" s="179" t="s">
        <v>35</v>
      </c>
      <c r="O10" s="10" t="s">
        <v>51</v>
      </c>
      <c r="P10" s="27" t="s">
        <v>37</v>
      </c>
      <c r="Q10" s="27"/>
      <c r="R10" s="190" t="s">
        <v>38</v>
      </c>
      <c r="S10" s="194" t="s">
        <v>39</v>
      </c>
      <c r="T10" s="200" t="s">
        <v>95</v>
      </c>
      <c r="U10" s="195">
        <v>2009</v>
      </c>
      <c r="V10" s="196" t="s">
        <v>85</v>
      </c>
      <c r="W10" s="54" t="s">
        <v>66</v>
      </c>
      <c r="X10" s="137" t="s">
        <v>43</v>
      </c>
      <c r="Y10" s="10" t="s">
        <v>68</v>
      </c>
      <c r="Z10" s="148" t="s">
        <v>69</v>
      </c>
      <c r="AA10" s="148"/>
      <c r="AB10" s="29"/>
      <c r="AC10" s="29"/>
      <c r="AD10" s="96" t="s">
        <v>2518</v>
      </c>
    </row>
    <row r="11" spans="1:30" ht="120">
      <c r="A11" s="166">
        <v>9</v>
      </c>
      <c r="B11" s="166">
        <v>7</v>
      </c>
      <c r="C11" s="69" t="s">
        <v>96</v>
      </c>
      <c r="D11" s="10" t="s">
        <v>2521</v>
      </c>
      <c r="E11" s="10" t="s">
        <v>30</v>
      </c>
      <c r="F11" s="166" t="s">
        <v>31</v>
      </c>
      <c r="G11" s="148" t="s">
        <v>32</v>
      </c>
      <c r="H11" s="148" t="s">
        <v>98</v>
      </c>
      <c r="I11" s="148" t="s">
        <v>32</v>
      </c>
      <c r="J11" s="26">
        <v>37160</v>
      </c>
      <c r="K11" s="178">
        <v>0</v>
      </c>
      <c r="L11" s="10" t="s">
        <v>99</v>
      </c>
      <c r="M11" s="67">
        <v>2003</v>
      </c>
      <c r="N11" s="179" t="s">
        <v>35</v>
      </c>
      <c r="O11" s="10" t="s">
        <v>73</v>
      </c>
      <c r="P11" s="27" t="s">
        <v>37</v>
      </c>
      <c r="Q11" s="50" t="s">
        <v>75</v>
      </c>
      <c r="R11" s="190" t="s">
        <v>38</v>
      </c>
      <c r="S11" s="194" t="s">
        <v>53</v>
      </c>
      <c r="T11" s="200" t="s">
        <v>101</v>
      </c>
      <c r="U11" s="195">
        <v>2006</v>
      </c>
      <c r="V11" s="196" t="s">
        <v>65</v>
      </c>
      <c r="W11" s="54" t="s">
        <v>66</v>
      </c>
      <c r="X11" s="137" t="s">
        <v>43</v>
      </c>
      <c r="Y11" s="10" t="s">
        <v>102</v>
      </c>
      <c r="Z11" s="148" t="s">
        <v>69</v>
      </c>
      <c r="AA11" s="148"/>
      <c r="AB11" s="29"/>
      <c r="AC11" s="214">
        <v>35643</v>
      </c>
      <c r="AD11" s="96" t="s">
        <v>2518</v>
      </c>
    </row>
    <row r="12" spans="1:30" ht="42.75" customHeight="1">
      <c r="A12" s="166">
        <v>10</v>
      </c>
      <c r="B12" s="165">
        <v>8</v>
      </c>
      <c r="C12" s="167" t="s">
        <v>103</v>
      </c>
      <c r="D12" s="10" t="s">
        <v>2522</v>
      </c>
      <c r="E12" s="10" t="s">
        <v>105</v>
      </c>
      <c r="F12" s="53" t="s">
        <v>106</v>
      </c>
      <c r="G12" s="53" t="s">
        <v>32</v>
      </c>
      <c r="H12" s="53" t="s">
        <v>107</v>
      </c>
      <c r="I12" s="53" t="s">
        <v>108</v>
      </c>
      <c r="J12" s="180">
        <v>2160204</v>
      </c>
      <c r="K12" s="180">
        <v>2160204</v>
      </c>
      <c r="L12" s="10" t="s">
        <v>109</v>
      </c>
      <c r="M12" s="10">
        <v>1990</v>
      </c>
      <c r="N12" s="179" t="s">
        <v>35</v>
      </c>
      <c r="O12" s="10" t="s">
        <v>73</v>
      </c>
      <c r="P12" s="27" t="s">
        <v>74</v>
      </c>
      <c r="Q12" s="197"/>
      <c r="R12" s="190" t="s">
        <v>38</v>
      </c>
      <c r="S12" s="201" t="s">
        <v>100</v>
      </c>
      <c r="T12" s="200" t="s">
        <v>110</v>
      </c>
      <c r="U12" s="195">
        <v>2015</v>
      </c>
      <c r="V12" s="202" t="s">
        <v>111</v>
      </c>
      <c r="W12" s="54" t="s">
        <v>66</v>
      </c>
      <c r="X12" s="137" t="s">
        <v>112</v>
      </c>
      <c r="Y12" s="10" t="s">
        <v>68</v>
      </c>
      <c r="Z12" s="215" t="s">
        <v>2523</v>
      </c>
      <c r="AA12" s="11"/>
      <c r="AB12" s="29"/>
      <c r="AC12" s="29"/>
      <c r="AD12" s="96" t="s">
        <v>2518</v>
      </c>
    </row>
    <row r="13" spans="1:30" ht="51" customHeight="1">
      <c r="A13" s="166">
        <v>11</v>
      </c>
      <c r="B13" s="166">
        <v>9</v>
      </c>
      <c r="C13" s="69" t="s">
        <v>115</v>
      </c>
      <c r="D13" s="10" t="s">
        <v>116</v>
      </c>
      <c r="E13" s="10" t="s">
        <v>117</v>
      </c>
      <c r="F13" s="166" t="s">
        <v>31</v>
      </c>
      <c r="G13" s="148" t="s">
        <v>32</v>
      </c>
      <c r="H13" s="148" t="s">
        <v>118</v>
      </c>
      <c r="I13" s="148" t="s">
        <v>32</v>
      </c>
      <c r="J13" s="180">
        <v>60878</v>
      </c>
      <c r="K13" s="180">
        <v>60878</v>
      </c>
      <c r="L13" s="10" t="s">
        <v>119</v>
      </c>
      <c r="M13" s="67">
        <v>1995</v>
      </c>
      <c r="N13" s="179" t="s">
        <v>35</v>
      </c>
      <c r="O13" s="10" t="s">
        <v>73</v>
      </c>
      <c r="P13" s="27" t="s">
        <v>74</v>
      </c>
      <c r="Q13" s="197"/>
      <c r="R13" s="190" t="s">
        <v>38</v>
      </c>
      <c r="S13" s="194" t="s">
        <v>39</v>
      </c>
      <c r="T13" s="200" t="s">
        <v>120</v>
      </c>
      <c r="U13" s="195">
        <v>2008</v>
      </c>
      <c r="V13" s="196" t="s">
        <v>121</v>
      </c>
      <c r="W13" s="54" t="s">
        <v>66</v>
      </c>
      <c r="X13" s="137" t="s">
        <v>112</v>
      </c>
      <c r="Y13" s="10" t="s">
        <v>122</v>
      </c>
      <c r="Z13" s="180" t="s">
        <v>123</v>
      </c>
      <c r="AA13" s="180"/>
      <c r="AB13" s="29"/>
      <c r="AC13" s="29"/>
      <c r="AD13" s="29"/>
    </row>
    <row r="14" spans="1:30" ht="46.5" customHeight="1">
      <c r="A14" s="166">
        <v>12</v>
      </c>
      <c r="B14" s="165">
        <v>10</v>
      </c>
      <c r="C14" s="167" t="s">
        <v>124</v>
      </c>
      <c r="D14" s="10" t="s">
        <v>125</v>
      </c>
      <c r="E14" s="10" t="s">
        <v>126</v>
      </c>
      <c r="F14" s="166" t="s">
        <v>127</v>
      </c>
      <c r="G14" s="148" t="s">
        <v>32</v>
      </c>
      <c r="H14" s="148" t="s">
        <v>128</v>
      </c>
      <c r="I14" s="148" t="s">
        <v>32</v>
      </c>
      <c r="J14" s="26">
        <v>16695</v>
      </c>
      <c r="K14" s="26">
        <v>36139.800000000003</v>
      </c>
      <c r="L14" s="10" t="s">
        <v>129</v>
      </c>
      <c r="M14" s="67">
        <v>1995</v>
      </c>
      <c r="N14" s="179" t="s">
        <v>35</v>
      </c>
      <c r="O14" s="10" t="s">
        <v>73</v>
      </c>
      <c r="P14" s="27" t="s">
        <v>74</v>
      </c>
      <c r="Q14" s="197"/>
      <c r="R14" s="190" t="s">
        <v>38</v>
      </c>
      <c r="S14" s="194" t="s">
        <v>39</v>
      </c>
      <c r="T14" s="200" t="s">
        <v>120</v>
      </c>
      <c r="U14" s="195">
        <v>2008</v>
      </c>
      <c r="V14" s="196" t="s">
        <v>121</v>
      </c>
      <c r="W14" s="54" t="s">
        <v>66</v>
      </c>
      <c r="X14" s="137" t="s">
        <v>112</v>
      </c>
      <c r="Y14" s="10" t="s">
        <v>122</v>
      </c>
      <c r="Z14" s="180" t="s">
        <v>123</v>
      </c>
      <c r="AA14" s="180"/>
      <c r="AB14" s="29"/>
      <c r="AC14" s="29"/>
      <c r="AD14" s="29"/>
    </row>
    <row r="15" spans="1:30" ht="44.25" customHeight="1">
      <c r="A15" s="166">
        <v>13</v>
      </c>
      <c r="B15" s="166">
        <v>11</v>
      </c>
      <c r="C15" s="69" t="s">
        <v>130</v>
      </c>
      <c r="D15" s="10" t="s">
        <v>131</v>
      </c>
      <c r="E15" s="10" t="s">
        <v>126</v>
      </c>
      <c r="F15" s="166" t="s">
        <v>127</v>
      </c>
      <c r="G15" s="148" t="s">
        <v>32</v>
      </c>
      <c r="H15" s="148" t="s">
        <v>118</v>
      </c>
      <c r="I15" s="148" t="s">
        <v>32</v>
      </c>
      <c r="J15" s="26">
        <v>4044</v>
      </c>
      <c r="K15" s="26">
        <v>23488.799999999999</v>
      </c>
      <c r="L15" s="10" t="s">
        <v>132</v>
      </c>
      <c r="M15" s="67">
        <v>1995</v>
      </c>
      <c r="N15" s="179" t="s">
        <v>35</v>
      </c>
      <c r="O15" s="10" t="s">
        <v>73</v>
      </c>
      <c r="P15" s="27" t="s">
        <v>74</v>
      </c>
      <c r="Q15" s="197"/>
      <c r="R15" s="190" t="s">
        <v>38</v>
      </c>
      <c r="S15" s="194" t="s">
        <v>39</v>
      </c>
      <c r="T15" s="200" t="s">
        <v>120</v>
      </c>
      <c r="U15" s="195">
        <v>2008</v>
      </c>
      <c r="V15" s="196" t="s">
        <v>121</v>
      </c>
      <c r="W15" s="54" t="s">
        <v>66</v>
      </c>
      <c r="X15" s="137" t="s">
        <v>112</v>
      </c>
      <c r="Y15" s="10" t="s">
        <v>122</v>
      </c>
      <c r="Z15" s="180" t="s">
        <v>123</v>
      </c>
      <c r="AA15" s="180"/>
      <c r="AB15" s="29"/>
      <c r="AC15" s="29"/>
      <c r="AD15" s="29"/>
    </row>
    <row r="16" spans="1:30" ht="39.75" customHeight="1">
      <c r="A16" s="166">
        <v>14</v>
      </c>
      <c r="B16" s="165">
        <v>12</v>
      </c>
      <c r="C16" s="167" t="s">
        <v>133</v>
      </c>
      <c r="D16" s="10" t="s">
        <v>134</v>
      </c>
      <c r="E16" s="10" t="s">
        <v>135</v>
      </c>
      <c r="F16" s="166" t="s">
        <v>49</v>
      </c>
      <c r="G16" s="148" t="s">
        <v>32</v>
      </c>
      <c r="H16" s="148" t="s">
        <v>118</v>
      </c>
      <c r="I16" s="148" t="s">
        <v>32</v>
      </c>
      <c r="J16" s="26">
        <v>1683</v>
      </c>
      <c r="K16" s="26">
        <v>21127.8</v>
      </c>
      <c r="L16" s="10" t="s">
        <v>132</v>
      </c>
      <c r="M16" s="67">
        <v>1995</v>
      </c>
      <c r="N16" s="179" t="s">
        <v>35</v>
      </c>
      <c r="O16" s="10" t="s">
        <v>136</v>
      </c>
      <c r="P16" s="181" t="s">
        <v>62</v>
      </c>
      <c r="Q16" s="197"/>
      <c r="R16" s="190" t="s">
        <v>38</v>
      </c>
      <c r="S16" s="194" t="s">
        <v>39</v>
      </c>
      <c r="T16" s="200" t="s">
        <v>120</v>
      </c>
      <c r="U16" s="195">
        <v>2008</v>
      </c>
      <c r="V16" s="196" t="s">
        <v>121</v>
      </c>
      <c r="W16" s="54" t="s">
        <v>66</v>
      </c>
      <c r="X16" s="137" t="s">
        <v>112</v>
      </c>
      <c r="Y16" s="10" t="s">
        <v>122</v>
      </c>
      <c r="Z16" s="180" t="s">
        <v>123</v>
      </c>
      <c r="AA16" s="180"/>
      <c r="AB16" s="29"/>
      <c r="AC16" s="29"/>
      <c r="AD16" s="29"/>
    </row>
    <row r="17" spans="1:30" ht="39.75" customHeight="1">
      <c r="A17" s="166">
        <v>15</v>
      </c>
      <c r="B17" s="166">
        <v>13</v>
      </c>
      <c r="C17" s="69" t="s">
        <v>137</v>
      </c>
      <c r="D17" s="10" t="s">
        <v>138</v>
      </c>
      <c r="E17" s="10" t="s">
        <v>135</v>
      </c>
      <c r="F17" s="166" t="s">
        <v>49</v>
      </c>
      <c r="G17" s="148" t="s">
        <v>32</v>
      </c>
      <c r="H17" s="148" t="s">
        <v>118</v>
      </c>
      <c r="I17" s="148" t="s">
        <v>32</v>
      </c>
      <c r="J17" s="26">
        <v>3120</v>
      </c>
      <c r="K17" s="26">
        <v>22564.799999999999</v>
      </c>
      <c r="L17" s="10" t="s">
        <v>132</v>
      </c>
      <c r="M17" s="67">
        <v>1995</v>
      </c>
      <c r="N17" s="179" t="s">
        <v>35</v>
      </c>
      <c r="O17" s="10" t="s">
        <v>136</v>
      </c>
      <c r="P17" s="181" t="s">
        <v>62</v>
      </c>
      <c r="Q17" s="197"/>
      <c r="R17" s="190" t="s">
        <v>38</v>
      </c>
      <c r="S17" s="194" t="s">
        <v>39</v>
      </c>
      <c r="T17" s="200" t="s">
        <v>120</v>
      </c>
      <c r="U17" s="195">
        <v>2008</v>
      </c>
      <c r="V17" s="196" t="s">
        <v>121</v>
      </c>
      <c r="W17" s="54" t="s">
        <v>66</v>
      </c>
      <c r="X17" s="137" t="s">
        <v>112</v>
      </c>
      <c r="Y17" s="10" t="s">
        <v>122</v>
      </c>
      <c r="Z17" s="180" t="s">
        <v>123</v>
      </c>
      <c r="AA17" s="180"/>
      <c r="AB17" s="29"/>
      <c r="AC17" s="29"/>
      <c r="AD17" s="29"/>
    </row>
    <row r="18" spans="1:30" ht="36.75" customHeight="1">
      <c r="A18" s="166">
        <v>16</v>
      </c>
      <c r="B18" s="165">
        <v>14</v>
      </c>
      <c r="C18" s="167" t="s">
        <v>139</v>
      </c>
      <c r="D18" s="10" t="s">
        <v>140</v>
      </c>
      <c r="E18" s="10" t="s">
        <v>135</v>
      </c>
      <c r="F18" s="166" t="s">
        <v>49</v>
      </c>
      <c r="G18" s="148" t="s">
        <v>32</v>
      </c>
      <c r="H18" s="148" t="s">
        <v>118</v>
      </c>
      <c r="I18" s="148" t="s">
        <v>32</v>
      </c>
      <c r="J18" s="26">
        <v>1512</v>
      </c>
      <c r="K18" s="26">
        <v>20956.8</v>
      </c>
      <c r="L18" s="10" t="s">
        <v>132</v>
      </c>
      <c r="M18" s="67">
        <v>1995</v>
      </c>
      <c r="N18" s="179" t="s">
        <v>35</v>
      </c>
      <c r="O18" s="10" t="s">
        <v>136</v>
      </c>
      <c r="P18" s="181" t="s">
        <v>62</v>
      </c>
      <c r="Q18" s="197"/>
      <c r="R18" s="190" t="s">
        <v>38</v>
      </c>
      <c r="S18" s="194" t="s">
        <v>39</v>
      </c>
      <c r="T18" s="200" t="s">
        <v>120</v>
      </c>
      <c r="U18" s="195">
        <v>2008</v>
      </c>
      <c r="V18" s="196" t="s">
        <v>121</v>
      </c>
      <c r="W18" s="54" t="s">
        <v>66</v>
      </c>
      <c r="X18" s="137" t="s">
        <v>112</v>
      </c>
      <c r="Y18" s="10" t="s">
        <v>122</v>
      </c>
      <c r="Z18" s="180" t="s">
        <v>123</v>
      </c>
      <c r="AA18" s="180"/>
      <c r="AB18" s="29"/>
      <c r="AC18" s="29"/>
      <c r="AD18" s="29"/>
    </row>
    <row r="19" spans="1:30" ht="48.75" customHeight="1">
      <c r="A19" s="166">
        <v>17</v>
      </c>
      <c r="B19" s="166">
        <v>15</v>
      </c>
      <c r="C19" s="69" t="s">
        <v>141</v>
      </c>
      <c r="D19" s="10" t="s">
        <v>142</v>
      </c>
      <c r="E19" s="10" t="s">
        <v>105</v>
      </c>
      <c r="F19" s="166" t="s">
        <v>106</v>
      </c>
      <c r="G19" s="148" t="s">
        <v>32</v>
      </c>
      <c r="H19" s="148" t="s">
        <v>143</v>
      </c>
      <c r="I19" s="148" t="s">
        <v>32</v>
      </c>
      <c r="J19" s="26">
        <v>123685</v>
      </c>
      <c r="K19" s="26">
        <v>123685</v>
      </c>
      <c r="L19" s="10" t="s">
        <v>132</v>
      </c>
      <c r="M19" s="67">
        <v>1995</v>
      </c>
      <c r="N19" s="179" t="s">
        <v>35</v>
      </c>
      <c r="O19" s="10" t="s">
        <v>73</v>
      </c>
      <c r="P19" s="27" t="s">
        <v>74</v>
      </c>
      <c r="Q19" s="197"/>
      <c r="R19" s="190" t="s">
        <v>38</v>
      </c>
      <c r="S19" s="194" t="s">
        <v>39</v>
      </c>
      <c r="T19" s="200" t="s">
        <v>144</v>
      </c>
      <c r="U19" s="195">
        <v>2011</v>
      </c>
      <c r="V19" s="196" t="s">
        <v>145</v>
      </c>
      <c r="W19" s="54" t="s">
        <v>66</v>
      </c>
      <c r="X19" s="137" t="s">
        <v>112</v>
      </c>
      <c r="Y19" s="10" t="s">
        <v>122</v>
      </c>
      <c r="Z19" s="180" t="s">
        <v>123</v>
      </c>
      <c r="AA19" s="180"/>
      <c r="AB19" s="29"/>
      <c r="AC19" s="29"/>
      <c r="AD19" s="29"/>
    </row>
    <row r="20" spans="1:30" ht="46.5" customHeight="1">
      <c r="A20" s="166">
        <v>18</v>
      </c>
      <c r="B20" s="165">
        <v>16</v>
      </c>
      <c r="C20" s="167" t="s">
        <v>146</v>
      </c>
      <c r="D20" s="10" t="s">
        <v>147</v>
      </c>
      <c r="E20" s="10" t="s">
        <v>126</v>
      </c>
      <c r="F20" s="166" t="s">
        <v>127</v>
      </c>
      <c r="G20" s="148" t="s">
        <v>32</v>
      </c>
      <c r="H20" s="148" t="s">
        <v>148</v>
      </c>
      <c r="I20" s="148" t="s">
        <v>32</v>
      </c>
      <c r="J20" s="26">
        <v>14766</v>
      </c>
      <c r="K20" s="26">
        <v>49133.5</v>
      </c>
      <c r="L20" s="10" t="s">
        <v>132</v>
      </c>
      <c r="M20" s="67">
        <v>1995</v>
      </c>
      <c r="N20" s="179" t="s">
        <v>35</v>
      </c>
      <c r="O20" s="10" t="s">
        <v>73</v>
      </c>
      <c r="P20" s="27" t="s">
        <v>74</v>
      </c>
      <c r="Q20" s="197"/>
      <c r="R20" s="190" t="s">
        <v>38</v>
      </c>
      <c r="S20" s="194" t="s">
        <v>39</v>
      </c>
      <c r="T20" s="200" t="s">
        <v>144</v>
      </c>
      <c r="U20" s="195">
        <v>2011</v>
      </c>
      <c r="V20" s="196" t="s">
        <v>145</v>
      </c>
      <c r="W20" s="54" t="s">
        <v>66</v>
      </c>
      <c r="X20" s="137" t="s">
        <v>112</v>
      </c>
      <c r="Y20" s="10" t="s">
        <v>122</v>
      </c>
      <c r="Z20" s="180" t="s">
        <v>123</v>
      </c>
      <c r="AA20" s="180"/>
      <c r="AB20" s="29"/>
      <c r="AC20" s="29"/>
      <c r="AD20" s="29"/>
    </row>
    <row r="21" spans="1:30" ht="51" customHeight="1">
      <c r="A21" s="166">
        <v>19</v>
      </c>
      <c r="B21" s="166">
        <v>17</v>
      </c>
      <c r="C21" s="69" t="s">
        <v>149</v>
      </c>
      <c r="D21" s="10" t="s">
        <v>150</v>
      </c>
      <c r="E21" s="10" t="s">
        <v>126</v>
      </c>
      <c r="F21" s="166" t="s">
        <v>127</v>
      </c>
      <c r="G21" s="148" t="s">
        <v>32</v>
      </c>
      <c r="H21" s="148" t="s">
        <v>151</v>
      </c>
      <c r="I21" s="148" t="s">
        <v>32</v>
      </c>
      <c r="J21" s="26">
        <v>19037</v>
      </c>
      <c r="K21" s="26">
        <v>53404.5</v>
      </c>
      <c r="L21" s="10" t="s">
        <v>132</v>
      </c>
      <c r="M21" s="67">
        <v>1995</v>
      </c>
      <c r="N21" s="179" t="s">
        <v>35</v>
      </c>
      <c r="O21" s="10" t="s">
        <v>73</v>
      </c>
      <c r="P21" s="27" t="s">
        <v>74</v>
      </c>
      <c r="Q21" s="197"/>
      <c r="R21" s="190" t="s">
        <v>38</v>
      </c>
      <c r="S21" s="194" t="s">
        <v>39</v>
      </c>
      <c r="T21" s="200" t="s">
        <v>144</v>
      </c>
      <c r="U21" s="195">
        <v>2011</v>
      </c>
      <c r="V21" s="196" t="s">
        <v>145</v>
      </c>
      <c r="W21" s="54" t="s">
        <v>66</v>
      </c>
      <c r="X21" s="137" t="s">
        <v>112</v>
      </c>
      <c r="Y21" s="10" t="s">
        <v>122</v>
      </c>
      <c r="Z21" s="180" t="s">
        <v>123</v>
      </c>
      <c r="AA21" s="180"/>
      <c r="AB21" s="29"/>
      <c r="AC21" s="29"/>
      <c r="AD21" s="29"/>
    </row>
    <row r="22" spans="1:30" ht="50.25" customHeight="1">
      <c r="A22" s="166">
        <v>20</v>
      </c>
      <c r="B22" s="165">
        <v>18</v>
      </c>
      <c r="C22" s="167" t="s">
        <v>152</v>
      </c>
      <c r="D22" s="10" t="s">
        <v>153</v>
      </c>
      <c r="E22" s="10" t="s">
        <v>403</v>
      </c>
      <c r="F22" s="166" t="s">
        <v>127</v>
      </c>
      <c r="G22" s="53" t="s">
        <v>155</v>
      </c>
      <c r="H22" s="148" t="s">
        <v>156</v>
      </c>
      <c r="I22" s="148" t="s">
        <v>157</v>
      </c>
      <c r="J22" s="26">
        <v>122900</v>
      </c>
      <c r="K22" s="26">
        <v>122900</v>
      </c>
      <c r="L22" s="10" t="s">
        <v>158</v>
      </c>
      <c r="M22" s="67">
        <v>1955</v>
      </c>
      <c r="N22" s="179" t="s">
        <v>35</v>
      </c>
      <c r="O22" s="10" t="s">
        <v>73</v>
      </c>
      <c r="P22" s="27" t="s">
        <v>74</v>
      </c>
      <c r="Q22" s="197"/>
      <c r="R22" s="190" t="s">
        <v>38</v>
      </c>
      <c r="S22" s="194" t="s">
        <v>53</v>
      </c>
      <c r="T22" s="200" t="s">
        <v>159</v>
      </c>
      <c r="U22" s="195">
        <v>2007</v>
      </c>
      <c r="V22" s="196" t="s">
        <v>77</v>
      </c>
      <c r="W22" s="54" t="s">
        <v>66</v>
      </c>
      <c r="X22" s="137" t="s">
        <v>112</v>
      </c>
      <c r="Y22" s="10" t="s">
        <v>160</v>
      </c>
      <c r="Z22" s="12" t="s">
        <v>69</v>
      </c>
      <c r="AA22" s="12" t="s">
        <v>42</v>
      </c>
      <c r="AB22" s="135"/>
      <c r="AC22" s="214">
        <v>34182</v>
      </c>
      <c r="AD22" s="216" t="s">
        <v>2524</v>
      </c>
    </row>
    <row r="23" spans="1:30" ht="60.75" hidden="1" customHeight="1">
      <c r="A23" s="166">
        <v>21</v>
      </c>
      <c r="B23" s="166"/>
      <c r="C23" s="47" t="s">
        <v>162</v>
      </c>
      <c r="D23" s="148" t="s">
        <v>1991</v>
      </c>
      <c r="E23" s="148" t="s">
        <v>30</v>
      </c>
      <c r="F23" s="166" t="s">
        <v>31</v>
      </c>
      <c r="G23" s="53" t="s">
        <v>164</v>
      </c>
      <c r="H23" s="148" t="s">
        <v>165</v>
      </c>
      <c r="I23" s="148" t="s">
        <v>165</v>
      </c>
      <c r="J23" s="26">
        <v>240</v>
      </c>
      <c r="K23" s="26">
        <v>240</v>
      </c>
      <c r="L23" s="11" t="s">
        <v>166</v>
      </c>
      <c r="M23" s="12">
        <v>1955</v>
      </c>
      <c r="N23" s="174" t="s">
        <v>35</v>
      </c>
      <c r="O23" s="10" t="s">
        <v>167</v>
      </c>
      <c r="P23" s="137" t="s">
        <v>37</v>
      </c>
      <c r="Q23" s="10"/>
      <c r="R23" s="28" t="s">
        <v>89</v>
      </c>
      <c r="S23" s="28" t="s">
        <v>35</v>
      </c>
      <c r="T23" s="11" t="s">
        <v>35</v>
      </c>
      <c r="U23" s="11" t="s">
        <v>35</v>
      </c>
      <c r="V23" s="11" t="s">
        <v>35</v>
      </c>
      <c r="W23" s="11" t="s">
        <v>42</v>
      </c>
      <c r="X23" s="27" t="s">
        <v>112</v>
      </c>
      <c r="Y23" s="148" t="s">
        <v>168</v>
      </c>
      <c r="Z23" s="12" t="s">
        <v>91</v>
      </c>
      <c r="AA23" s="12"/>
      <c r="AB23" s="29"/>
      <c r="AC23" s="29"/>
      <c r="AD23" s="29"/>
    </row>
    <row r="24" spans="1:30" ht="51" hidden="1">
      <c r="A24" s="166">
        <v>22</v>
      </c>
      <c r="B24" s="165"/>
      <c r="C24" s="45" t="s">
        <v>170</v>
      </c>
      <c r="D24" s="168" t="s">
        <v>171</v>
      </c>
      <c r="E24" s="148" t="s">
        <v>30</v>
      </c>
      <c r="F24" s="166" t="s">
        <v>31</v>
      </c>
      <c r="G24" s="148" t="s">
        <v>172</v>
      </c>
      <c r="H24" s="148" t="s">
        <v>173</v>
      </c>
      <c r="I24" s="148" t="s">
        <v>174</v>
      </c>
      <c r="J24" s="26">
        <v>60</v>
      </c>
      <c r="K24" s="182">
        <v>0</v>
      </c>
      <c r="L24" s="11" t="s">
        <v>175</v>
      </c>
      <c r="M24" s="12">
        <v>1955</v>
      </c>
      <c r="N24" s="174" t="s">
        <v>35</v>
      </c>
      <c r="O24" s="10" t="s">
        <v>73</v>
      </c>
      <c r="P24" s="137" t="s">
        <v>74</v>
      </c>
      <c r="Q24" s="67"/>
      <c r="R24" s="28" t="s">
        <v>89</v>
      </c>
      <c r="S24" s="28" t="s">
        <v>35</v>
      </c>
      <c r="T24" s="11" t="s">
        <v>35</v>
      </c>
      <c r="U24" s="11" t="s">
        <v>35</v>
      </c>
      <c r="V24" s="11" t="s">
        <v>35</v>
      </c>
      <c r="W24" s="11" t="s">
        <v>42</v>
      </c>
      <c r="X24" s="27" t="s">
        <v>176</v>
      </c>
      <c r="Y24" s="148" t="s">
        <v>168</v>
      </c>
      <c r="Z24" s="12" t="s">
        <v>91</v>
      </c>
      <c r="AA24" s="12"/>
      <c r="AB24" s="29"/>
      <c r="AC24" s="29"/>
      <c r="AD24" s="29"/>
    </row>
    <row r="25" spans="1:30" ht="33.75" hidden="1">
      <c r="A25" s="166">
        <v>23</v>
      </c>
      <c r="B25" s="166"/>
      <c r="C25" s="47" t="s">
        <v>178</v>
      </c>
      <c r="D25" s="148" t="s">
        <v>179</v>
      </c>
      <c r="E25" s="148" t="s">
        <v>30</v>
      </c>
      <c r="F25" s="166" t="s">
        <v>31</v>
      </c>
      <c r="G25" s="148" t="s">
        <v>180</v>
      </c>
      <c r="H25" s="148" t="s">
        <v>181</v>
      </c>
      <c r="I25" s="148" t="s">
        <v>182</v>
      </c>
      <c r="J25" s="26">
        <v>11</v>
      </c>
      <c r="K25" s="26">
        <v>11</v>
      </c>
      <c r="L25" s="11" t="s">
        <v>175</v>
      </c>
      <c r="M25" s="12">
        <v>1955</v>
      </c>
      <c r="N25" s="174" t="s">
        <v>35</v>
      </c>
      <c r="O25" s="10" t="s">
        <v>183</v>
      </c>
      <c r="P25" s="137" t="s">
        <v>37</v>
      </c>
      <c r="Q25" s="10"/>
      <c r="R25" s="28" t="s">
        <v>89</v>
      </c>
      <c r="S25" s="28" t="s">
        <v>35</v>
      </c>
      <c r="T25" s="11" t="s">
        <v>35</v>
      </c>
      <c r="U25" s="11" t="s">
        <v>35</v>
      </c>
      <c r="V25" s="11" t="s">
        <v>35</v>
      </c>
      <c r="W25" s="11" t="s">
        <v>42</v>
      </c>
      <c r="X25" s="27" t="s">
        <v>112</v>
      </c>
      <c r="Y25" s="148" t="s">
        <v>168</v>
      </c>
      <c r="Z25" s="12" t="s">
        <v>91</v>
      </c>
      <c r="AA25" s="12"/>
      <c r="AB25" s="29"/>
      <c r="AC25" s="29"/>
      <c r="AD25" s="29"/>
    </row>
    <row r="26" spans="1:30" ht="33.75" hidden="1" customHeight="1">
      <c r="A26" s="166">
        <v>24</v>
      </c>
      <c r="B26" s="165">
        <v>1</v>
      </c>
      <c r="C26" s="169" t="s">
        <v>186</v>
      </c>
      <c r="D26" s="11" t="s">
        <v>187</v>
      </c>
      <c r="E26" s="11" t="s">
        <v>30</v>
      </c>
      <c r="F26" s="166" t="s">
        <v>31</v>
      </c>
      <c r="G26" s="148" t="s">
        <v>188</v>
      </c>
      <c r="H26" s="148" t="s">
        <v>189</v>
      </c>
      <c r="I26" s="148" t="s">
        <v>190</v>
      </c>
      <c r="J26" s="26">
        <v>73</v>
      </c>
      <c r="K26" s="183">
        <v>73</v>
      </c>
      <c r="L26" s="11" t="s">
        <v>175</v>
      </c>
      <c r="M26" s="12">
        <v>1955</v>
      </c>
      <c r="N26" s="179" t="s">
        <v>35</v>
      </c>
      <c r="O26" s="10" t="s">
        <v>191</v>
      </c>
      <c r="P26" s="27" t="s">
        <v>37</v>
      </c>
      <c r="Q26" s="53"/>
      <c r="R26" s="198" t="s">
        <v>89</v>
      </c>
      <c r="S26" s="199" t="s">
        <v>90</v>
      </c>
      <c r="T26" s="148" t="s">
        <v>35</v>
      </c>
      <c r="U26" s="148" t="s">
        <v>35</v>
      </c>
      <c r="V26" s="148" t="s">
        <v>35</v>
      </c>
      <c r="W26" s="11" t="s">
        <v>192</v>
      </c>
      <c r="X26" s="137" t="s">
        <v>112</v>
      </c>
      <c r="Y26" s="11" t="s">
        <v>168</v>
      </c>
      <c r="Z26" s="12" t="s">
        <v>91</v>
      </c>
      <c r="AA26" s="12"/>
      <c r="AB26" s="29"/>
      <c r="AC26" s="96" t="s">
        <v>2525</v>
      </c>
      <c r="AD26" s="96" t="s">
        <v>2526</v>
      </c>
    </row>
    <row r="27" spans="1:30" ht="38.25" hidden="1">
      <c r="A27" s="166">
        <v>25</v>
      </c>
      <c r="B27" s="166"/>
      <c r="C27" s="47" t="s">
        <v>194</v>
      </c>
      <c r="D27" s="11" t="s">
        <v>195</v>
      </c>
      <c r="E27" s="11" t="s">
        <v>30</v>
      </c>
      <c r="F27" s="12" t="s">
        <v>31</v>
      </c>
      <c r="G27" s="10" t="s">
        <v>155</v>
      </c>
      <c r="H27" s="11" t="s">
        <v>196</v>
      </c>
      <c r="I27" s="11" t="s">
        <v>197</v>
      </c>
      <c r="J27" s="26">
        <v>15</v>
      </c>
      <c r="K27" s="26">
        <v>15</v>
      </c>
      <c r="L27" s="11" t="s">
        <v>175</v>
      </c>
      <c r="M27" s="12">
        <v>1955</v>
      </c>
      <c r="N27" s="174" t="s">
        <v>35</v>
      </c>
      <c r="O27" s="10" t="s">
        <v>73</v>
      </c>
      <c r="P27" s="137" t="s">
        <v>74</v>
      </c>
      <c r="Q27" s="67"/>
      <c r="R27" s="28" t="s">
        <v>89</v>
      </c>
      <c r="S27" s="28" t="s">
        <v>35</v>
      </c>
      <c r="T27" s="11" t="s">
        <v>35</v>
      </c>
      <c r="U27" s="11" t="s">
        <v>35</v>
      </c>
      <c r="V27" s="11" t="s">
        <v>35</v>
      </c>
      <c r="W27" s="11" t="s">
        <v>42</v>
      </c>
      <c r="X27" s="27" t="s">
        <v>112</v>
      </c>
      <c r="Y27" s="148" t="s">
        <v>168</v>
      </c>
      <c r="Z27" s="12" t="s">
        <v>91</v>
      </c>
      <c r="AA27" s="12"/>
      <c r="AB27" s="29"/>
      <c r="AC27" s="29"/>
      <c r="AD27" s="29"/>
    </row>
    <row r="28" spans="1:30" ht="63.75" hidden="1">
      <c r="A28" s="166">
        <v>26</v>
      </c>
      <c r="B28" s="165"/>
      <c r="C28" s="45" t="s">
        <v>199</v>
      </c>
      <c r="D28" s="11" t="s">
        <v>200</v>
      </c>
      <c r="E28" s="11" t="s">
        <v>30</v>
      </c>
      <c r="F28" s="12" t="s">
        <v>31</v>
      </c>
      <c r="G28" s="11" t="s">
        <v>201</v>
      </c>
      <c r="H28" s="11" t="s">
        <v>202</v>
      </c>
      <c r="I28" s="11" t="s">
        <v>203</v>
      </c>
      <c r="J28" s="26">
        <v>491</v>
      </c>
      <c r="K28" s="26">
        <v>491</v>
      </c>
      <c r="L28" s="11" t="s">
        <v>204</v>
      </c>
      <c r="M28" s="12">
        <v>1955</v>
      </c>
      <c r="N28" s="174" t="s">
        <v>35</v>
      </c>
      <c r="O28" s="10" t="s">
        <v>205</v>
      </c>
      <c r="P28" s="137" t="s">
        <v>37</v>
      </c>
      <c r="Q28" s="10"/>
      <c r="R28" s="203" t="s">
        <v>38</v>
      </c>
      <c r="S28" s="28" t="s">
        <v>53</v>
      </c>
      <c r="T28" s="11" t="s">
        <v>206</v>
      </c>
      <c r="U28" s="65">
        <v>2006</v>
      </c>
      <c r="V28" s="67" t="s">
        <v>65</v>
      </c>
      <c r="W28" s="65" t="s">
        <v>42</v>
      </c>
      <c r="X28" s="27" t="s">
        <v>112</v>
      </c>
      <c r="Y28" s="11" t="s">
        <v>69</v>
      </c>
      <c r="Z28" s="12" t="s">
        <v>69</v>
      </c>
      <c r="AA28" s="12"/>
      <c r="AB28" s="29"/>
      <c r="AC28" s="29"/>
      <c r="AD28" s="29"/>
    </row>
    <row r="29" spans="1:30" ht="76.5" hidden="1">
      <c r="A29" s="166">
        <v>27</v>
      </c>
      <c r="B29" s="166"/>
      <c r="C29" s="47" t="s">
        <v>208</v>
      </c>
      <c r="D29" s="11" t="s">
        <v>209</v>
      </c>
      <c r="E29" s="11" t="s">
        <v>30</v>
      </c>
      <c r="F29" s="12" t="s">
        <v>31</v>
      </c>
      <c r="G29" s="11" t="s">
        <v>210</v>
      </c>
      <c r="H29" s="11" t="s">
        <v>211</v>
      </c>
      <c r="I29" s="11" t="s">
        <v>212</v>
      </c>
      <c r="J29" s="26">
        <v>13000</v>
      </c>
      <c r="K29" s="183">
        <v>13000</v>
      </c>
      <c r="L29" s="11" t="s">
        <v>213</v>
      </c>
      <c r="M29" s="12">
        <v>1955</v>
      </c>
      <c r="N29" s="174" t="s">
        <v>35</v>
      </c>
      <c r="O29" s="10" t="s">
        <v>73</v>
      </c>
      <c r="P29" s="137" t="s">
        <v>74</v>
      </c>
      <c r="Q29" s="67"/>
      <c r="R29" s="203" t="s">
        <v>38</v>
      </c>
      <c r="S29" s="28" t="s">
        <v>53</v>
      </c>
      <c r="T29" s="11" t="s">
        <v>214</v>
      </c>
      <c r="U29" s="65">
        <v>2005</v>
      </c>
      <c r="V29" s="67" t="s">
        <v>215</v>
      </c>
      <c r="W29" s="65" t="s">
        <v>42</v>
      </c>
      <c r="X29" s="27" t="s">
        <v>112</v>
      </c>
      <c r="Y29" s="148" t="s">
        <v>216</v>
      </c>
      <c r="Z29" s="166" t="s">
        <v>217</v>
      </c>
      <c r="AA29" s="166"/>
      <c r="AB29" s="29"/>
      <c r="AC29" s="29"/>
      <c r="AD29" s="29"/>
    </row>
    <row r="30" spans="1:30" ht="51" hidden="1">
      <c r="A30" s="166">
        <v>28</v>
      </c>
      <c r="B30" s="165"/>
      <c r="C30" s="45" t="s">
        <v>219</v>
      </c>
      <c r="D30" s="11" t="s">
        <v>220</v>
      </c>
      <c r="E30" s="11" t="s">
        <v>30</v>
      </c>
      <c r="F30" s="12" t="s">
        <v>31</v>
      </c>
      <c r="G30" s="10" t="s">
        <v>164</v>
      </c>
      <c r="H30" s="11" t="s">
        <v>221</v>
      </c>
      <c r="I30" s="11" t="s">
        <v>222</v>
      </c>
      <c r="J30" s="26">
        <v>0.48</v>
      </c>
      <c r="K30" s="26">
        <v>0.48</v>
      </c>
      <c r="L30" s="11" t="s">
        <v>223</v>
      </c>
      <c r="M30" s="12">
        <v>1955</v>
      </c>
      <c r="N30" s="174" t="s">
        <v>35</v>
      </c>
      <c r="O30" s="10" t="s">
        <v>73</v>
      </c>
      <c r="P30" s="137" t="s">
        <v>74</v>
      </c>
      <c r="Q30" s="67"/>
      <c r="R30" s="28" t="s">
        <v>89</v>
      </c>
      <c r="S30" s="28" t="s">
        <v>35</v>
      </c>
      <c r="T30" s="11" t="s">
        <v>35</v>
      </c>
      <c r="U30" s="11" t="s">
        <v>35</v>
      </c>
      <c r="V30" s="11" t="s">
        <v>35</v>
      </c>
      <c r="W30" s="11" t="s">
        <v>42</v>
      </c>
      <c r="X30" s="27" t="s">
        <v>112</v>
      </c>
      <c r="Y30" s="148" t="s">
        <v>168</v>
      </c>
      <c r="Z30" s="12" t="s">
        <v>91</v>
      </c>
      <c r="AA30" s="12"/>
      <c r="AB30" s="29"/>
      <c r="AC30" s="29"/>
      <c r="AD30" s="29"/>
    </row>
    <row r="31" spans="1:30" ht="51" hidden="1">
      <c r="A31" s="166">
        <v>29</v>
      </c>
      <c r="B31" s="166"/>
      <c r="C31" s="47" t="s">
        <v>225</v>
      </c>
      <c r="D31" s="11" t="s">
        <v>226</v>
      </c>
      <c r="E31" s="11" t="s">
        <v>227</v>
      </c>
      <c r="F31" s="11" t="s">
        <v>228</v>
      </c>
      <c r="G31" s="11" t="s">
        <v>210</v>
      </c>
      <c r="H31" s="11" t="s">
        <v>229</v>
      </c>
      <c r="I31" s="11" t="s">
        <v>212</v>
      </c>
      <c r="J31" s="26">
        <v>311.25900000000001</v>
      </c>
      <c r="K31" s="26">
        <v>311.25900000000001</v>
      </c>
      <c r="L31" s="11" t="s">
        <v>230</v>
      </c>
      <c r="M31" s="12">
        <v>1956</v>
      </c>
      <c r="N31" s="174" t="s">
        <v>35</v>
      </c>
      <c r="O31" s="10" t="s">
        <v>73</v>
      </c>
      <c r="P31" s="137" t="s">
        <v>74</v>
      </c>
      <c r="Q31" s="67"/>
      <c r="R31" s="28" t="s">
        <v>89</v>
      </c>
      <c r="S31" s="28" t="s">
        <v>35</v>
      </c>
      <c r="T31" s="11" t="s">
        <v>35</v>
      </c>
      <c r="U31" s="11" t="s">
        <v>35</v>
      </c>
      <c r="V31" s="11" t="s">
        <v>35</v>
      </c>
      <c r="W31" s="11" t="s">
        <v>42</v>
      </c>
      <c r="X31" s="27" t="s">
        <v>112</v>
      </c>
      <c r="Y31" s="148" t="s">
        <v>168</v>
      </c>
      <c r="Z31" s="12" t="s">
        <v>91</v>
      </c>
      <c r="AA31" s="12"/>
      <c r="AB31" s="29"/>
      <c r="AC31" s="29"/>
      <c r="AD31" s="29"/>
    </row>
    <row r="32" spans="1:30" ht="25.5" hidden="1">
      <c r="A32" s="166">
        <v>30</v>
      </c>
      <c r="B32" s="165"/>
      <c r="C32" s="45" t="s">
        <v>233</v>
      </c>
      <c r="D32" s="11" t="s">
        <v>234</v>
      </c>
      <c r="E32" s="11" t="s">
        <v>30</v>
      </c>
      <c r="F32" s="12" t="s">
        <v>31</v>
      </c>
      <c r="G32" s="11" t="s">
        <v>172</v>
      </c>
      <c r="H32" s="11" t="s">
        <v>235</v>
      </c>
      <c r="I32" s="11" t="s">
        <v>235</v>
      </c>
      <c r="J32" s="26">
        <v>902</v>
      </c>
      <c r="K32" s="26">
        <v>902</v>
      </c>
      <c r="L32" s="11" t="s">
        <v>236</v>
      </c>
      <c r="M32" s="12">
        <v>1956</v>
      </c>
      <c r="N32" s="174" t="s">
        <v>35</v>
      </c>
      <c r="O32" s="10" t="s">
        <v>73</v>
      </c>
      <c r="P32" s="137" t="s">
        <v>74</v>
      </c>
      <c r="Q32" s="67"/>
      <c r="R32" s="28" t="s">
        <v>89</v>
      </c>
      <c r="S32" s="28" t="s">
        <v>35</v>
      </c>
      <c r="T32" s="11" t="s">
        <v>35</v>
      </c>
      <c r="U32" s="11" t="s">
        <v>35</v>
      </c>
      <c r="V32" s="11" t="s">
        <v>35</v>
      </c>
      <c r="W32" s="11" t="s">
        <v>42</v>
      </c>
      <c r="X32" s="27" t="s">
        <v>112</v>
      </c>
      <c r="Y32" s="148" t="s">
        <v>168</v>
      </c>
      <c r="Z32" s="12" t="s">
        <v>91</v>
      </c>
      <c r="AA32" s="12"/>
      <c r="AB32" s="29"/>
      <c r="AC32" s="29"/>
      <c r="AD32" s="29"/>
    </row>
    <row r="33" spans="1:30" ht="38.25" hidden="1">
      <c r="A33" s="166">
        <v>31</v>
      </c>
      <c r="B33" s="166"/>
      <c r="C33" s="47" t="s">
        <v>238</v>
      </c>
      <c r="D33" s="11" t="s">
        <v>239</v>
      </c>
      <c r="E33" s="11" t="s">
        <v>227</v>
      </c>
      <c r="F33" s="11" t="s">
        <v>228</v>
      </c>
      <c r="G33" s="11" t="s">
        <v>172</v>
      </c>
      <c r="H33" s="11" t="s">
        <v>240</v>
      </c>
      <c r="I33" s="11" t="s">
        <v>235</v>
      </c>
      <c r="J33" s="26">
        <v>4061</v>
      </c>
      <c r="K33" s="182">
        <v>0</v>
      </c>
      <c r="L33" s="11" t="s">
        <v>236</v>
      </c>
      <c r="M33" s="12">
        <v>1956</v>
      </c>
      <c r="N33" s="174" t="s">
        <v>35</v>
      </c>
      <c r="O33" s="10" t="s">
        <v>73</v>
      </c>
      <c r="P33" s="137" t="s">
        <v>74</v>
      </c>
      <c r="Q33" s="67"/>
      <c r="R33" s="28" t="s">
        <v>89</v>
      </c>
      <c r="S33" s="28" t="s">
        <v>35</v>
      </c>
      <c r="T33" s="11" t="s">
        <v>35</v>
      </c>
      <c r="U33" s="11" t="s">
        <v>35</v>
      </c>
      <c r="V33" s="11" t="s">
        <v>35</v>
      </c>
      <c r="W33" s="11" t="s">
        <v>42</v>
      </c>
      <c r="X33" s="27" t="s">
        <v>176</v>
      </c>
      <c r="Y33" s="148" t="s">
        <v>168</v>
      </c>
      <c r="Z33" s="12" t="s">
        <v>91</v>
      </c>
      <c r="AA33" s="12"/>
      <c r="AB33" s="29"/>
      <c r="AC33" s="29"/>
      <c r="AD33" s="29"/>
    </row>
    <row r="34" spans="1:30" ht="127.5">
      <c r="A34" s="166">
        <v>32</v>
      </c>
      <c r="B34" s="165">
        <v>19</v>
      </c>
      <c r="C34" s="45" t="s">
        <v>242</v>
      </c>
      <c r="D34" s="170" t="s">
        <v>243</v>
      </c>
      <c r="E34" s="170" t="s">
        <v>227</v>
      </c>
      <c r="F34" s="11" t="s">
        <v>228</v>
      </c>
      <c r="G34" s="11" t="s">
        <v>201</v>
      </c>
      <c r="H34" s="11" t="s">
        <v>244</v>
      </c>
      <c r="I34" s="11" t="s">
        <v>245</v>
      </c>
      <c r="J34" s="26">
        <v>5265.92</v>
      </c>
      <c r="K34" s="26">
        <v>5265.92</v>
      </c>
      <c r="L34" s="11" t="s">
        <v>246</v>
      </c>
      <c r="M34" s="12">
        <v>1956</v>
      </c>
      <c r="N34" s="174" t="s">
        <v>35</v>
      </c>
      <c r="O34" s="10" t="s">
        <v>73</v>
      </c>
      <c r="P34" s="27" t="s">
        <v>74</v>
      </c>
      <c r="Q34" s="197"/>
      <c r="R34" s="198" t="s">
        <v>89</v>
      </c>
      <c r="S34" s="198" t="s">
        <v>35</v>
      </c>
      <c r="T34" s="148" t="s">
        <v>35</v>
      </c>
      <c r="U34" s="148" t="s">
        <v>35</v>
      </c>
      <c r="V34" s="148" t="s">
        <v>35</v>
      </c>
      <c r="W34" s="204" t="s">
        <v>66</v>
      </c>
      <c r="X34" s="27" t="s">
        <v>112</v>
      </c>
      <c r="Y34" s="11"/>
      <c r="Z34" s="12" t="s">
        <v>91</v>
      </c>
      <c r="AA34" s="12"/>
      <c r="AB34" s="29"/>
      <c r="AC34" s="93"/>
      <c r="AD34" s="217" t="s">
        <v>2527</v>
      </c>
    </row>
    <row r="35" spans="1:30" ht="127.5">
      <c r="A35" s="166">
        <v>33</v>
      </c>
      <c r="B35" s="166">
        <v>20</v>
      </c>
      <c r="C35" s="47" t="s">
        <v>249</v>
      </c>
      <c r="D35" s="170" t="s">
        <v>250</v>
      </c>
      <c r="E35" s="170" t="s">
        <v>227</v>
      </c>
      <c r="F35" s="11" t="s">
        <v>228</v>
      </c>
      <c r="G35" s="11" t="s">
        <v>201</v>
      </c>
      <c r="H35" s="11" t="s">
        <v>251</v>
      </c>
      <c r="I35" s="11" t="s">
        <v>252</v>
      </c>
      <c r="J35" s="26">
        <v>5436.93</v>
      </c>
      <c r="K35" s="26">
        <v>5436.93</v>
      </c>
      <c r="L35" s="11" t="s">
        <v>246</v>
      </c>
      <c r="M35" s="12">
        <v>1956</v>
      </c>
      <c r="N35" s="174" t="s">
        <v>35</v>
      </c>
      <c r="O35" s="10" t="s">
        <v>73</v>
      </c>
      <c r="P35" s="27" t="s">
        <v>74</v>
      </c>
      <c r="Q35" s="197"/>
      <c r="R35" s="198" t="s">
        <v>89</v>
      </c>
      <c r="S35" s="198" t="s">
        <v>35</v>
      </c>
      <c r="T35" s="148" t="s">
        <v>35</v>
      </c>
      <c r="U35" s="148" t="s">
        <v>35</v>
      </c>
      <c r="V35" s="148" t="s">
        <v>35</v>
      </c>
      <c r="W35" s="204" t="s">
        <v>66</v>
      </c>
      <c r="X35" s="27" t="s">
        <v>112</v>
      </c>
      <c r="Y35" s="148"/>
      <c r="Z35" s="12" t="s">
        <v>91</v>
      </c>
      <c r="AA35" s="12"/>
      <c r="AB35" s="29"/>
      <c r="AC35" s="93"/>
      <c r="AD35" s="217" t="s">
        <v>2527</v>
      </c>
    </row>
    <row r="36" spans="1:30" ht="51" hidden="1">
      <c r="A36" s="166">
        <v>34</v>
      </c>
      <c r="B36" s="165"/>
      <c r="C36" s="45" t="s">
        <v>254</v>
      </c>
      <c r="D36" s="148" t="s">
        <v>255</v>
      </c>
      <c r="E36" s="11" t="s">
        <v>227</v>
      </c>
      <c r="F36" s="11" t="s">
        <v>228</v>
      </c>
      <c r="G36" s="11" t="s">
        <v>188</v>
      </c>
      <c r="H36" s="11" t="s">
        <v>256</v>
      </c>
      <c r="I36" s="11" t="s">
        <v>257</v>
      </c>
      <c r="J36" s="26">
        <v>683.19</v>
      </c>
      <c r="K36" s="26">
        <v>683.19</v>
      </c>
      <c r="L36" s="11" t="s">
        <v>246</v>
      </c>
      <c r="M36" s="12">
        <v>1956</v>
      </c>
      <c r="N36" s="174" t="s">
        <v>35</v>
      </c>
      <c r="O36" s="10" t="s">
        <v>73</v>
      </c>
      <c r="P36" s="27" t="s">
        <v>74</v>
      </c>
      <c r="Q36" s="197"/>
      <c r="R36" s="198" t="s">
        <v>89</v>
      </c>
      <c r="S36" s="198" t="s">
        <v>35</v>
      </c>
      <c r="T36" s="148" t="s">
        <v>35</v>
      </c>
      <c r="U36" s="148" t="s">
        <v>35</v>
      </c>
      <c r="V36" s="148" t="s">
        <v>35</v>
      </c>
      <c r="W36" s="11" t="s">
        <v>42</v>
      </c>
      <c r="X36" s="27" t="s">
        <v>112</v>
      </c>
      <c r="Y36" s="148" t="s">
        <v>168</v>
      </c>
      <c r="Z36" s="12" t="s">
        <v>91</v>
      </c>
      <c r="AA36" s="12"/>
      <c r="AB36" s="29"/>
      <c r="AC36" s="29"/>
      <c r="AD36" s="29"/>
    </row>
    <row r="37" spans="1:30" ht="51" hidden="1">
      <c r="A37" s="166">
        <v>35</v>
      </c>
      <c r="B37" s="166"/>
      <c r="C37" s="47" t="s">
        <v>259</v>
      </c>
      <c r="D37" s="148" t="s">
        <v>260</v>
      </c>
      <c r="E37" s="11" t="s">
        <v>227</v>
      </c>
      <c r="F37" s="11" t="s">
        <v>228</v>
      </c>
      <c r="G37" s="11" t="s">
        <v>188</v>
      </c>
      <c r="H37" s="11" t="s">
        <v>261</v>
      </c>
      <c r="I37" s="11" t="s">
        <v>262</v>
      </c>
      <c r="J37" s="26">
        <v>524.01</v>
      </c>
      <c r="K37" s="26">
        <v>524.01</v>
      </c>
      <c r="L37" s="11" t="s">
        <v>246</v>
      </c>
      <c r="M37" s="12">
        <v>1956</v>
      </c>
      <c r="N37" s="174" t="s">
        <v>35</v>
      </c>
      <c r="O37" s="10" t="s">
        <v>73</v>
      </c>
      <c r="P37" s="27" t="s">
        <v>74</v>
      </c>
      <c r="Q37" s="197"/>
      <c r="R37" s="198" t="s">
        <v>89</v>
      </c>
      <c r="S37" s="198" t="s">
        <v>35</v>
      </c>
      <c r="T37" s="148" t="s">
        <v>35</v>
      </c>
      <c r="U37" s="148" t="s">
        <v>35</v>
      </c>
      <c r="V37" s="148" t="s">
        <v>35</v>
      </c>
      <c r="W37" s="11" t="s">
        <v>42</v>
      </c>
      <c r="X37" s="27" t="s">
        <v>112</v>
      </c>
      <c r="Y37" s="148" t="s">
        <v>168</v>
      </c>
      <c r="Z37" s="12" t="s">
        <v>91</v>
      </c>
      <c r="AA37" s="12"/>
      <c r="AB37" s="29"/>
      <c r="AC37" s="29"/>
      <c r="AD37" s="29"/>
    </row>
    <row r="38" spans="1:30" ht="51" hidden="1">
      <c r="A38" s="166">
        <v>36</v>
      </c>
      <c r="B38" s="166"/>
      <c r="C38" s="47" t="s">
        <v>264</v>
      </c>
      <c r="D38" s="148" t="s">
        <v>265</v>
      </c>
      <c r="E38" s="11" t="s">
        <v>227</v>
      </c>
      <c r="F38" s="11" t="s">
        <v>228</v>
      </c>
      <c r="G38" s="10" t="s">
        <v>164</v>
      </c>
      <c r="H38" s="11" t="s">
        <v>165</v>
      </c>
      <c r="I38" s="11" t="s">
        <v>165</v>
      </c>
      <c r="J38" s="26">
        <v>1101.26</v>
      </c>
      <c r="K38" s="182">
        <v>0</v>
      </c>
      <c r="L38" s="11" t="s">
        <v>246</v>
      </c>
      <c r="M38" s="12">
        <v>1956</v>
      </c>
      <c r="N38" s="174" t="s">
        <v>35</v>
      </c>
      <c r="O38" s="10" t="s">
        <v>73</v>
      </c>
      <c r="P38" s="27" t="s">
        <v>74</v>
      </c>
      <c r="Q38" s="197"/>
      <c r="R38" s="198" t="s">
        <v>89</v>
      </c>
      <c r="S38" s="198" t="s">
        <v>35</v>
      </c>
      <c r="T38" s="148" t="s">
        <v>35</v>
      </c>
      <c r="U38" s="148" t="s">
        <v>35</v>
      </c>
      <c r="V38" s="148" t="s">
        <v>35</v>
      </c>
      <c r="W38" s="11" t="s">
        <v>42</v>
      </c>
      <c r="X38" s="27" t="s">
        <v>266</v>
      </c>
      <c r="Y38" s="148" t="s">
        <v>168</v>
      </c>
      <c r="Z38" s="12" t="s">
        <v>91</v>
      </c>
      <c r="AA38" s="12"/>
      <c r="AB38" s="29"/>
      <c r="AC38" s="29"/>
      <c r="AD38" s="29"/>
    </row>
    <row r="39" spans="1:30" ht="51" hidden="1">
      <c r="A39" s="166">
        <v>37</v>
      </c>
      <c r="B39" s="165"/>
      <c r="C39" s="45" t="s">
        <v>268</v>
      </c>
      <c r="D39" s="148" t="s">
        <v>269</v>
      </c>
      <c r="E39" s="11" t="s">
        <v>227</v>
      </c>
      <c r="F39" s="11" t="s">
        <v>228</v>
      </c>
      <c r="G39" s="11" t="s">
        <v>188</v>
      </c>
      <c r="H39" s="11" t="s">
        <v>270</v>
      </c>
      <c r="I39" s="11" t="s">
        <v>190</v>
      </c>
      <c r="J39" s="26">
        <v>48.18</v>
      </c>
      <c r="K39" s="26">
        <v>48.18</v>
      </c>
      <c r="L39" s="11" t="s">
        <v>246</v>
      </c>
      <c r="M39" s="12">
        <v>1956</v>
      </c>
      <c r="N39" s="174" t="s">
        <v>35</v>
      </c>
      <c r="O39" s="10" t="s">
        <v>73</v>
      </c>
      <c r="P39" s="27" t="s">
        <v>74</v>
      </c>
      <c r="Q39" s="197"/>
      <c r="R39" s="198" t="s">
        <v>89</v>
      </c>
      <c r="S39" s="198" t="s">
        <v>35</v>
      </c>
      <c r="T39" s="148" t="s">
        <v>35</v>
      </c>
      <c r="U39" s="148" t="s">
        <v>35</v>
      </c>
      <c r="V39" s="148" t="s">
        <v>35</v>
      </c>
      <c r="W39" s="11" t="s">
        <v>42</v>
      </c>
      <c r="X39" s="27" t="s">
        <v>112</v>
      </c>
      <c r="Y39" s="148" t="s">
        <v>168</v>
      </c>
      <c r="Z39" s="12" t="s">
        <v>91</v>
      </c>
      <c r="AA39" s="12"/>
      <c r="AB39" s="29"/>
      <c r="AC39" s="29"/>
      <c r="AD39" s="29"/>
    </row>
    <row r="40" spans="1:30" ht="63.75" hidden="1">
      <c r="A40" s="166">
        <v>38</v>
      </c>
      <c r="B40" s="166">
        <v>1</v>
      </c>
      <c r="C40" s="69" t="s">
        <v>272</v>
      </c>
      <c r="D40" s="11" t="s">
        <v>273</v>
      </c>
      <c r="E40" s="11" t="s">
        <v>227</v>
      </c>
      <c r="F40" s="11" t="s">
        <v>228</v>
      </c>
      <c r="G40" s="10" t="s">
        <v>164</v>
      </c>
      <c r="H40" s="11" t="s">
        <v>274</v>
      </c>
      <c r="I40" s="11" t="s">
        <v>165</v>
      </c>
      <c r="J40" s="26">
        <v>934.52</v>
      </c>
      <c r="K40" s="26">
        <v>934.52</v>
      </c>
      <c r="L40" s="11" t="s">
        <v>246</v>
      </c>
      <c r="M40" s="12">
        <v>1956</v>
      </c>
      <c r="N40" s="174" t="s">
        <v>35</v>
      </c>
      <c r="O40" s="10" t="s">
        <v>73</v>
      </c>
      <c r="P40" s="27" t="s">
        <v>74</v>
      </c>
      <c r="Q40" s="53" t="s">
        <v>63</v>
      </c>
      <c r="R40" s="194" t="s">
        <v>38</v>
      </c>
      <c r="S40" s="205" t="s">
        <v>276</v>
      </c>
      <c r="T40" s="148" t="s">
        <v>277</v>
      </c>
      <c r="U40" s="194">
        <v>2016</v>
      </c>
      <c r="V40" s="194" t="s">
        <v>278</v>
      </c>
      <c r="W40" s="11" t="s">
        <v>279</v>
      </c>
      <c r="X40" s="137" t="s">
        <v>112</v>
      </c>
      <c r="Y40" s="11" t="s">
        <v>168</v>
      </c>
      <c r="Z40" s="12" t="s">
        <v>91</v>
      </c>
      <c r="AA40" s="12"/>
      <c r="AB40" s="29"/>
      <c r="AC40" s="148" t="s">
        <v>2528</v>
      </c>
      <c r="AD40" s="96" t="s">
        <v>2529</v>
      </c>
    </row>
    <row r="41" spans="1:30" ht="51" hidden="1">
      <c r="A41" s="166">
        <v>39</v>
      </c>
      <c r="B41" s="165">
        <v>2</v>
      </c>
      <c r="C41" s="169" t="s">
        <v>281</v>
      </c>
      <c r="D41" s="11" t="s">
        <v>282</v>
      </c>
      <c r="E41" s="11" t="s">
        <v>227</v>
      </c>
      <c r="F41" s="11" t="s">
        <v>228</v>
      </c>
      <c r="G41" s="11" t="s">
        <v>188</v>
      </c>
      <c r="H41" s="11" t="s">
        <v>283</v>
      </c>
      <c r="I41" s="11" t="s">
        <v>262</v>
      </c>
      <c r="J41" s="26">
        <v>467.16</v>
      </c>
      <c r="K41" s="26">
        <v>467.16</v>
      </c>
      <c r="L41" s="11" t="s">
        <v>246</v>
      </c>
      <c r="M41" s="12">
        <v>1956</v>
      </c>
      <c r="N41" s="174" t="s">
        <v>35</v>
      </c>
      <c r="O41" s="10" t="s">
        <v>73</v>
      </c>
      <c r="P41" s="27" t="s">
        <v>74</v>
      </c>
      <c r="Q41" s="197"/>
      <c r="R41" s="198" t="s">
        <v>89</v>
      </c>
      <c r="S41" s="198" t="s">
        <v>35</v>
      </c>
      <c r="T41" s="148" t="s">
        <v>35</v>
      </c>
      <c r="U41" s="148" t="s">
        <v>35</v>
      </c>
      <c r="V41" s="148" t="s">
        <v>35</v>
      </c>
      <c r="W41" s="11" t="s">
        <v>192</v>
      </c>
      <c r="X41" s="137" t="s">
        <v>112</v>
      </c>
      <c r="Y41" s="11" t="s">
        <v>168</v>
      </c>
      <c r="Z41" s="12" t="s">
        <v>91</v>
      </c>
      <c r="AA41" s="12"/>
      <c r="AB41" s="29"/>
      <c r="AC41" s="29"/>
      <c r="AD41" s="29"/>
    </row>
    <row r="42" spans="1:30" ht="51" hidden="1">
      <c r="A42" s="166">
        <v>40</v>
      </c>
      <c r="B42" s="165"/>
      <c r="C42" s="45" t="s">
        <v>285</v>
      </c>
      <c r="D42" s="148" t="s">
        <v>286</v>
      </c>
      <c r="E42" s="11" t="s">
        <v>227</v>
      </c>
      <c r="F42" s="11" t="s">
        <v>228</v>
      </c>
      <c r="G42" s="11" t="s">
        <v>188</v>
      </c>
      <c r="H42" s="11" t="s">
        <v>287</v>
      </c>
      <c r="I42" s="11" t="s">
        <v>190</v>
      </c>
      <c r="J42" s="26">
        <v>255.69</v>
      </c>
      <c r="K42" s="26">
        <v>255.69</v>
      </c>
      <c r="L42" s="11" t="s">
        <v>246</v>
      </c>
      <c r="M42" s="12">
        <v>1956</v>
      </c>
      <c r="N42" s="174" t="s">
        <v>35</v>
      </c>
      <c r="O42" s="10" t="s">
        <v>73</v>
      </c>
      <c r="P42" s="27" t="s">
        <v>74</v>
      </c>
      <c r="Q42" s="197"/>
      <c r="R42" s="198" t="s">
        <v>89</v>
      </c>
      <c r="S42" s="198" t="s">
        <v>35</v>
      </c>
      <c r="T42" s="148" t="s">
        <v>35</v>
      </c>
      <c r="U42" s="148" t="s">
        <v>35</v>
      </c>
      <c r="V42" s="148" t="s">
        <v>35</v>
      </c>
      <c r="W42" s="11" t="s">
        <v>42</v>
      </c>
      <c r="X42" s="27" t="s">
        <v>112</v>
      </c>
      <c r="Y42" s="148" t="s">
        <v>168</v>
      </c>
      <c r="Z42" s="12" t="s">
        <v>91</v>
      </c>
      <c r="AA42" s="12"/>
      <c r="AB42" s="29"/>
      <c r="AC42" s="29"/>
      <c r="AD42" s="29"/>
    </row>
    <row r="43" spans="1:30" ht="51" hidden="1">
      <c r="A43" s="166">
        <v>41</v>
      </c>
      <c r="B43" s="166"/>
      <c r="C43" s="47" t="s">
        <v>289</v>
      </c>
      <c r="D43" s="148" t="s">
        <v>290</v>
      </c>
      <c r="E43" s="11" t="s">
        <v>227</v>
      </c>
      <c r="F43" s="11" t="s">
        <v>228</v>
      </c>
      <c r="G43" s="11" t="s">
        <v>188</v>
      </c>
      <c r="H43" s="11" t="s">
        <v>262</v>
      </c>
      <c r="I43" s="11" t="s">
        <v>262</v>
      </c>
      <c r="J43" s="26">
        <v>24.13</v>
      </c>
      <c r="K43" s="26">
        <v>24.13</v>
      </c>
      <c r="L43" s="11" t="s">
        <v>246</v>
      </c>
      <c r="M43" s="12">
        <v>1956</v>
      </c>
      <c r="N43" s="174" t="s">
        <v>35</v>
      </c>
      <c r="O43" s="10" t="s">
        <v>73</v>
      </c>
      <c r="P43" s="27" t="s">
        <v>74</v>
      </c>
      <c r="Q43" s="197"/>
      <c r="R43" s="198" t="s">
        <v>89</v>
      </c>
      <c r="S43" s="198" t="s">
        <v>35</v>
      </c>
      <c r="T43" s="148" t="s">
        <v>35</v>
      </c>
      <c r="U43" s="148" t="s">
        <v>35</v>
      </c>
      <c r="V43" s="148" t="s">
        <v>35</v>
      </c>
      <c r="W43" s="11" t="s">
        <v>42</v>
      </c>
      <c r="X43" s="27" t="s">
        <v>112</v>
      </c>
      <c r="Y43" s="148" t="s">
        <v>168</v>
      </c>
      <c r="Z43" s="12" t="s">
        <v>91</v>
      </c>
      <c r="AA43" s="12"/>
      <c r="AB43" s="29"/>
      <c r="AC43" s="29"/>
      <c r="AD43" s="29"/>
    </row>
    <row r="44" spans="1:30" ht="63.75">
      <c r="A44" s="166">
        <v>42</v>
      </c>
      <c r="B44" s="165">
        <v>21</v>
      </c>
      <c r="C44" s="45" t="s">
        <v>292</v>
      </c>
      <c r="D44" s="170" t="s">
        <v>293</v>
      </c>
      <c r="E44" s="170" t="s">
        <v>227</v>
      </c>
      <c r="F44" s="11" t="s">
        <v>228</v>
      </c>
      <c r="G44" s="11" t="s">
        <v>201</v>
      </c>
      <c r="H44" s="11" t="s">
        <v>294</v>
      </c>
      <c r="I44" s="11" t="s">
        <v>295</v>
      </c>
      <c r="J44" s="26">
        <v>6698.44</v>
      </c>
      <c r="K44" s="26">
        <v>6698.44</v>
      </c>
      <c r="L44" s="11" t="s">
        <v>246</v>
      </c>
      <c r="M44" s="12">
        <v>1956</v>
      </c>
      <c r="N44" s="174" t="s">
        <v>35</v>
      </c>
      <c r="O44" s="10" t="s">
        <v>73</v>
      </c>
      <c r="P44" s="27" t="s">
        <v>74</v>
      </c>
      <c r="Q44" s="197"/>
      <c r="R44" s="198" t="s">
        <v>89</v>
      </c>
      <c r="S44" s="198" t="s">
        <v>35</v>
      </c>
      <c r="T44" s="148" t="s">
        <v>35</v>
      </c>
      <c r="U44" s="148" t="s">
        <v>35</v>
      </c>
      <c r="V44" s="148" t="s">
        <v>35</v>
      </c>
      <c r="W44" s="204" t="s">
        <v>66</v>
      </c>
      <c r="X44" s="27" t="s">
        <v>112</v>
      </c>
      <c r="Y44" s="11"/>
      <c r="Z44" s="12" t="s">
        <v>91</v>
      </c>
      <c r="AA44" s="12"/>
      <c r="AB44" s="29"/>
      <c r="AC44" s="218"/>
      <c r="AD44" s="217" t="s">
        <v>2527</v>
      </c>
    </row>
    <row r="45" spans="1:30" ht="89.25" hidden="1">
      <c r="A45" s="166">
        <v>43</v>
      </c>
      <c r="B45" s="166"/>
      <c r="C45" s="47" t="s">
        <v>296</v>
      </c>
      <c r="D45" s="148" t="s">
        <v>297</v>
      </c>
      <c r="E45" s="11" t="s">
        <v>227</v>
      </c>
      <c r="F45" s="11" t="s">
        <v>228</v>
      </c>
      <c r="G45" s="11" t="s">
        <v>188</v>
      </c>
      <c r="H45" s="11" t="s">
        <v>298</v>
      </c>
      <c r="I45" s="11" t="s">
        <v>262</v>
      </c>
      <c r="J45" s="26">
        <v>583.72</v>
      </c>
      <c r="K45" s="26">
        <v>583.72</v>
      </c>
      <c r="L45" s="11" t="s">
        <v>246</v>
      </c>
      <c r="M45" s="12">
        <v>1956</v>
      </c>
      <c r="N45" s="174" t="s">
        <v>35</v>
      </c>
      <c r="O45" s="10" t="s">
        <v>73</v>
      </c>
      <c r="P45" s="27" t="s">
        <v>74</v>
      </c>
      <c r="Q45" s="197"/>
      <c r="R45" s="198" t="s">
        <v>89</v>
      </c>
      <c r="S45" s="198" t="s">
        <v>35</v>
      </c>
      <c r="T45" s="148" t="s">
        <v>35</v>
      </c>
      <c r="U45" s="148" t="s">
        <v>35</v>
      </c>
      <c r="V45" s="148" t="s">
        <v>35</v>
      </c>
      <c r="W45" s="11" t="s">
        <v>42</v>
      </c>
      <c r="X45" s="27" t="s">
        <v>112</v>
      </c>
      <c r="Y45" s="148" t="s">
        <v>168</v>
      </c>
      <c r="Z45" s="12" t="s">
        <v>91</v>
      </c>
      <c r="AA45" s="12"/>
      <c r="AB45" s="29"/>
      <c r="AC45" s="29"/>
      <c r="AD45" s="29"/>
    </row>
    <row r="46" spans="1:30" ht="51" hidden="1">
      <c r="A46" s="166">
        <v>44</v>
      </c>
      <c r="B46" s="165"/>
      <c r="C46" s="45" t="s">
        <v>300</v>
      </c>
      <c r="D46" s="148" t="s">
        <v>301</v>
      </c>
      <c r="E46" s="11" t="s">
        <v>227</v>
      </c>
      <c r="F46" s="11" t="s">
        <v>228</v>
      </c>
      <c r="G46" s="11" t="s">
        <v>188</v>
      </c>
      <c r="H46" s="11" t="s">
        <v>257</v>
      </c>
      <c r="I46" s="11" t="s">
        <v>257</v>
      </c>
      <c r="J46" s="26">
        <v>1074.0899999999999</v>
      </c>
      <c r="K46" s="26">
        <v>1074.0899999999999</v>
      </c>
      <c r="L46" s="11" t="s">
        <v>246</v>
      </c>
      <c r="M46" s="12">
        <v>1956</v>
      </c>
      <c r="N46" s="174" t="s">
        <v>35</v>
      </c>
      <c r="O46" s="10" t="s">
        <v>73</v>
      </c>
      <c r="P46" s="27" t="s">
        <v>74</v>
      </c>
      <c r="Q46" s="197"/>
      <c r="R46" s="198" t="s">
        <v>89</v>
      </c>
      <c r="S46" s="198" t="s">
        <v>35</v>
      </c>
      <c r="T46" s="148" t="s">
        <v>35</v>
      </c>
      <c r="U46" s="148" t="s">
        <v>35</v>
      </c>
      <c r="V46" s="148" t="s">
        <v>35</v>
      </c>
      <c r="W46" s="11" t="s">
        <v>42</v>
      </c>
      <c r="X46" s="27" t="s">
        <v>112</v>
      </c>
      <c r="Y46" s="148" t="s">
        <v>168</v>
      </c>
      <c r="Z46" s="12" t="s">
        <v>91</v>
      </c>
      <c r="AA46" s="12"/>
      <c r="AB46" s="29"/>
      <c r="AC46" s="29"/>
      <c r="AD46" s="29"/>
    </row>
    <row r="47" spans="1:30" ht="51" hidden="1">
      <c r="A47" s="166">
        <v>45</v>
      </c>
      <c r="B47" s="166"/>
      <c r="C47" s="47" t="s">
        <v>303</v>
      </c>
      <c r="D47" s="148" t="s">
        <v>304</v>
      </c>
      <c r="E47" s="11" t="s">
        <v>227</v>
      </c>
      <c r="F47" s="11" t="s">
        <v>228</v>
      </c>
      <c r="G47" s="11" t="s">
        <v>188</v>
      </c>
      <c r="H47" s="11" t="s">
        <v>305</v>
      </c>
      <c r="I47" s="11" t="s">
        <v>190</v>
      </c>
      <c r="J47" s="26">
        <v>918.46</v>
      </c>
      <c r="K47" s="26">
        <v>918.46</v>
      </c>
      <c r="L47" s="11" t="s">
        <v>246</v>
      </c>
      <c r="M47" s="12">
        <v>1956</v>
      </c>
      <c r="N47" s="174" t="s">
        <v>35</v>
      </c>
      <c r="O47" s="10" t="s">
        <v>73</v>
      </c>
      <c r="P47" s="27" t="s">
        <v>74</v>
      </c>
      <c r="Q47" s="197"/>
      <c r="R47" s="198" t="s">
        <v>89</v>
      </c>
      <c r="S47" s="198" t="s">
        <v>35</v>
      </c>
      <c r="T47" s="148" t="s">
        <v>35</v>
      </c>
      <c r="U47" s="148" t="s">
        <v>35</v>
      </c>
      <c r="V47" s="148" t="s">
        <v>35</v>
      </c>
      <c r="W47" s="11" t="s">
        <v>42</v>
      </c>
      <c r="X47" s="27" t="s">
        <v>112</v>
      </c>
      <c r="Y47" s="148" t="s">
        <v>168</v>
      </c>
      <c r="Z47" s="12" t="s">
        <v>91</v>
      </c>
      <c r="AA47" s="12"/>
      <c r="AB47" s="29"/>
      <c r="AC47" s="29"/>
      <c r="AD47" s="29"/>
    </row>
    <row r="48" spans="1:30" ht="76.5">
      <c r="A48" s="166">
        <v>46</v>
      </c>
      <c r="B48" s="165">
        <v>22</v>
      </c>
      <c r="C48" s="45" t="s">
        <v>307</v>
      </c>
      <c r="D48" s="170" t="s">
        <v>308</v>
      </c>
      <c r="E48" s="170" t="s">
        <v>227</v>
      </c>
      <c r="F48" s="11" t="s">
        <v>228</v>
      </c>
      <c r="G48" s="10" t="s">
        <v>164</v>
      </c>
      <c r="H48" s="11" t="s">
        <v>309</v>
      </c>
      <c r="I48" s="11" t="s">
        <v>165</v>
      </c>
      <c r="J48" s="26">
        <v>3684.42</v>
      </c>
      <c r="K48" s="26">
        <v>3684.42</v>
      </c>
      <c r="L48" s="11" t="s">
        <v>246</v>
      </c>
      <c r="M48" s="12">
        <v>1956</v>
      </c>
      <c r="N48" s="174" t="s">
        <v>35</v>
      </c>
      <c r="O48" s="10" t="s">
        <v>73</v>
      </c>
      <c r="P48" s="27" t="s">
        <v>74</v>
      </c>
      <c r="Q48" s="197"/>
      <c r="R48" s="198" t="s">
        <v>89</v>
      </c>
      <c r="S48" s="198" t="s">
        <v>35</v>
      </c>
      <c r="T48" s="148" t="s">
        <v>35</v>
      </c>
      <c r="U48" s="148" t="s">
        <v>35</v>
      </c>
      <c r="V48" s="148" t="s">
        <v>35</v>
      </c>
      <c r="W48" s="204" t="s">
        <v>66</v>
      </c>
      <c r="X48" s="27" t="s">
        <v>112</v>
      </c>
      <c r="Y48" s="148"/>
      <c r="Z48" s="12" t="s">
        <v>91</v>
      </c>
      <c r="AA48" s="135" t="s">
        <v>42</v>
      </c>
      <c r="AB48" s="96"/>
      <c r="AC48" s="93" t="s">
        <v>2530</v>
      </c>
      <c r="AD48" s="217" t="s">
        <v>2531</v>
      </c>
    </row>
    <row r="49" spans="1:30" ht="51" hidden="1">
      <c r="A49" s="166">
        <v>47</v>
      </c>
      <c r="B49" s="166"/>
      <c r="C49" s="47" t="s">
        <v>311</v>
      </c>
      <c r="D49" s="11" t="s">
        <v>312</v>
      </c>
      <c r="E49" s="11" t="s">
        <v>227</v>
      </c>
      <c r="F49" s="11" t="s">
        <v>228</v>
      </c>
      <c r="G49" s="11" t="s">
        <v>188</v>
      </c>
      <c r="H49" s="11" t="s">
        <v>313</v>
      </c>
      <c r="I49" s="11" t="s">
        <v>262</v>
      </c>
      <c r="J49" s="26">
        <v>163.6</v>
      </c>
      <c r="K49" s="26">
        <v>163.6</v>
      </c>
      <c r="L49" s="11" t="s">
        <v>246</v>
      </c>
      <c r="M49" s="12">
        <v>1956</v>
      </c>
      <c r="N49" s="174" t="s">
        <v>35</v>
      </c>
      <c r="O49" s="10" t="s">
        <v>73</v>
      </c>
      <c r="P49" s="27" t="s">
        <v>74</v>
      </c>
      <c r="Q49" s="197"/>
      <c r="R49" s="198" t="s">
        <v>89</v>
      </c>
      <c r="S49" s="198" t="s">
        <v>35</v>
      </c>
      <c r="T49" s="148" t="s">
        <v>35</v>
      </c>
      <c r="U49" s="148" t="s">
        <v>35</v>
      </c>
      <c r="V49" s="148" t="s">
        <v>35</v>
      </c>
      <c r="W49" s="11" t="s">
        <v>42</v>
      </c>
      <c r="X49" s="27" t="s">
        <v>112</v>
      </c>
      <c r="Y49" s="148" t="s">
        <v>168</v>
      </c>
      <c r="Z49" s="12" t="s">
        <v>91</v>
      </c>
      <c r="AA49" s="12"/>
      <c r="AB49" s="29"/>
      <c r="AC49" s="29"/>
      <c r="AD49" s="29"/>
    </row>
    <row r="50" spans="1:30" ht="51" hidden="1">
      <c r="A50" s="166">
        <v>48</v>
      </c>
      <c r="B50" s="166"/>
      <c r="C50" s="47" t="s">
        <v>315</v>
      </c>
      <c r="D50" s="148" t="s">
        <v>316</v>
      </c>
      <c r="E50" s="11" t="s">
        <v>227</v>
      </c>
      <c r="F50" s="11" t="s">
        <v>228</v>
      </c>
      <c r="G50" s="11" t="s">
        <v>188</v>
      </c>
      <c r="H50" s="11" t="s">
        <v>317</v>
      </c>
      <c r="I50" s="11" t="s">
        <v>262</v>
      </c>
      <c r="J50" s="26">
        <v>402.59</v>
      </c>
      <c r="K50" s="26">
        <v>402.59</v>
      </c>
      <c r="L50" s="11" t="s">
        <v>246</v>
      </c>
      <c r="M50" s="12">
        <v>1956</v>
      </c>
      <c r="N50" s="174" t="s">
        <v>35</v>
      </c>
      <c r="O50" s="10" t="s">
        <v>73</v>
      </c>
      <c r="P50" s="27" t="s">
        <v>74</v>
      </c>
      <c r="Q50" s="197"/>
      <c r="R50" s="198" t="s">
        <v>89</v>
      </c>
      <c r="S50" s="198" t="s">
        <v>35</v>
      </c>
      <c r="T50" s="148" t="s">
        <v>35</v>
      </c>
      <c r="U50" s="148" t="s">
        <v>35</v>
      </c>
      <c r="V50" s="148" t="s">
        <v>35</v>
      </c>
      <c r="W50" s="11" t="s">
        <v>42</v>
      </c>
      <c r="X50" s="27" t="s">
        <v>112</v>
      </c>
      <c r="Y50" s="148" t="s">
        <v>168</v>
      </c>
      <c r="Z50" s="12" t="s">
        <v>91</v>
      </c>
      <c r="AA50" s="12"/>
      <c r="AB50" s="29"/>
      <c r="AC50" s="29"/>
      <c r="AD50" s="29"/>
    </row>
    <row r="51" spans="1:30" ht="51" hidden="1">
      <c r="A51" s="166">
        <v>49</v>
      </c>
      <c r="B51" s="165"/>
      <c r="C51" s="45" t="s">
        <v>319</v>
      </c>
      <c r="D51" s="11" t="s">
        <v>320</v>
      </c>
      <c r="E51" s="11" t="s">
        <v>30</v>
      </c>
      <c r="F51" s="12" t="s">
        <v>31</v>
      </c>
      <c r="G51" s="11" t="s">
        <v>321</v>
      </c>
      <c r="H51" s="11" t="s">
        <v>322</v>
      </c>
      <c r="I51" s="11" t="s">
        <v>323</v>
      </c>
      <c r="J51" s="31">
        <v>1049.5181829999999</v>
      </c>
      <c r="K51" s="31">
        <v>1049.5181829999999</v>
      </c>
      <c r="L51" s="11" t="s">
        <v>324</v>
      </c>
      <c r="M51" s="12">
        <v>1963</v>
      </c>
      <c r="N51" s="174" t="s">
        <v>35</v>
      </c>
      <c r="O51" s="10" t="s">
        <v>191</v>
      </c>
      <c r="P51" s="27" t="s">
        <v>37</v>
      </c>
      <c r="Q51" s="206" t="s">
        <v>325</v>
      </c>
      <c r="R51" s="198" t="s">
        <v>89</v>
      </c>
      <c r="S51" s="199" t="s">
        <v>90</v>
      </c>
      <c r="T51" s="148" t="s">
        <v>35</v>
      </c>
      <c r="U51" s="148" t="s">
        <v>35</v>
      </c>
      <c r="V51" s="148" t="s">
        <v>35</v>
      </c>
      <c r="W51" s="11" t="s">
        <v>42</v>
      </c>
      <c r="X51" s="27" t="s">
        <v>112</v>
      </c>
      <c r="Y51" s="11" t="s">
        <v>2532</v>
      </c>
      <c r="Z51" s="12" t="s">
        <v>91</v>
      </c>
      <c r="AA51" s="12"/>
      <c r="AB51" s="29"/>
      <c r="AC51" s="29"/>
      <c r="AD51" s="29"/>
    </row>
    <row r="52" spans="1:30" ht="51" hidden="1">
      <c r="A52" s="166">
        <v>50</v>
      </c>
      <c r="B52" s="165"/>
      <c r="C52" s="45" t="s">
        <v>327</v>
      </c>
      <c r="D52" s="148" t="s">
        <v>328</v>
      </c>
      <c r="E52" s="11" t="s">
        <v>227</v>
      </c>
      <c r="F52" s="11" t="s">
        <v>228</v>
      </c>
      <c r="G52" s="11" t="s">
        <v>201</v>
      </c>
      <c r="H52" s="11" t="s">
        <v>329</v>
      </c>
      <c r="I52" s="11" t="s">
        <v>203</v>
      </c>
      <c r="J52" s="31">
        <v>1172.0999999999999</v>
      </c>
      <c r="K52" s="31">
        <v>1172.0999999999999</v>
      </c>
      <c r="L52" s="11" t="s">
        <v>246</v>
      </c>
      <c r="M52" s="12">
        <v>1956</v>
      </c>
      <c r="N52" s="174" t="s">
        <v>35</v>
      </c>
      <c r="O52" s="10" t="s">
        <v>73</v>
      </c>
      <c r="P52" s="27" t="s">
        <v>74</v>
      </c>
      <c r="Q52" s="53"/>
      <c r="R52" s="198" t="s">
        <v>89</v>
      </c>
      <c r="S52" s="198" t="s">
        <v>35</v>
      </c>
      <c r="T52" s="148" t="s">
        <v>35</v>
      </c>
      <c r="U52" s="148" t="s">
        <v>35</v>
      </c>
      <c r="V52" s="148" t="s">
        <v>35</v>
      </c>
      <c r="W52" s="11" t="s">
        <v>42</v>
      </c>
      <c r="X52" s="27" t="s">
        <v>112</v>
      </c>
      <c r="Y52" s="11" t="s">
        <v>2532</v>
      </c>
      <c r="Z52" s="12" t="s">
        <v>91</v>
      </c>
      <c r="AA52" s="12"/>
      <c r="AB52" s="29"/>
      <c r="AC52" s="29"/>
      <c r="AD52" s="29"/>
    </row>
    <row r="53" spans="1:30" ht="51" hidden="1">
      <c r="A53" s="166">
        <v>51</v>
      </c>
      <c r="B53" s="165"/>
      <c r="C53" s="45" t="s">
        <v>330</v>
      </c>
      <c r="D53" s="148" t="s">
        <v>331</v>
      </c>
      <c r="E53" s="11" t="s">
        <v>227</v>
      </c>
      <c r="F53" s="11" t="s">
        <v>228</v>
      </c>
      <c r="G53" s="10" t="s">
        <v>164</v>
      </c>
      <c r="H53" s="11" t="s">
        <v>165</v>
      </c>
      <c r="I53" s="11" t="s">
        <v>165</v>
      </c>
      <c r="J53" s="26">
        <v>3149.72</v>
      </c>
      <c r="K53" s="182">
        <v>0</v>
      </c>
      <c r="L53" s="11" t="s">
        <v>246</v>
      </c>
      <c r="M53" s="12">
        <v>1956</v>
      </c>
      <c r="N53" s="174" t="s">
        <v>35</v>
      </c>
      <c r="O53" s="10" t="s">
        <v>73</v>
      </c>
      <c r="P53" s="27" t="s">
        <v>74</v>
      </c>
      <c r="Q53" s="197"/>
      <c r="R53" s="198" t="s">
        <v>89</v>
      </c>
      <c r="S53" s="198" t="s">
        <v>35</v>
      </c>
      <c r="T53" s="148" t="s">
        <v>35</v>
      </c>
      <c r="U53" s="148" t="s">
        <v>35</v>
      </c>
      <c r="V53" s="148" t="s">
        <v>35</v>
      </c>
      <c r="W53" s="11" t="s">
        <v>42</v>
      </c>
      <c r="X53" s="27" t="s">
        <v>266</v>
      </c>
      <c r="Y53" s="148" t="s">
        <v>168</v>
      </c>
      <c r="Z53" s="166" t="s">
        <v>91</v>
      </c>
      <c r="AA53" s="166"/>
      <c r="AB53" s="29"/>
      <c r="AC53" s="29"/>
      <c r="AD53" s="29"/>
    </row>
    <row r="54" spans="1:30" ht="51" hidden="1">
      <c r="A54" s="166">
        <v>52</v>
      </c>
      <c r="B54" s="166"/>
      <c r="C54" s="47" t="s">
        <v>333</v>
      </c>
      <c r="D54" s="148" t="s">
        <v>334</v>
      </c>
      <c r="E54" s="11" t="s">
        <v>227</v>
      </c>
      <c r="F54" s="11" t="s">
        <v>228</v>
      </c>
      <c r="G54" s="10" t="s">
        <v>164</v>
      </c>
      <c r="H54" s="62" t="s">
        <v>165</v>
      </c>
      <c r="I54" s="11" t="s">
        <v>165</v>
      </c>
      <c r="J54" s="26">
        <v>1566.73</v>
      </c>
      <c r="K54" s="182">
        <v>0</v>
      </c>
      <c r="L54" s="11" t="s">
        <v>246</v>
      </c>
      <c r="M54" s="12">
        <v>1956</v>
      </c>
      <c r="N54" s="174" t="s">
        <v>35</v>
      </c>
      <c r="O54" s="10" t="s">
        <v>73</v>
      </c>
      <c r="P54" s="27" t="s">
        <v>74</v>
      </c>
      <c r="Q54" s="197"/>
      <c r="R54" s="198" t="s">
        <v>89</v>
      </c>
      <c r="S54" s="198" t="s">
        <v>35</v>
      </c>
      <c r="T54" s="148" t="s">
        <v>35</v>
      </c>
      <c r="U54" s="148" t="s">
        <v>35</v>
      </c>
      <c r="V54" s="148" t="s">
        <v>35</v>
      </c>
      <c r="W54" s="11" t="s">
        <v>42</v>
      </c>
      <c r="X54" s="27" t="s">
        <v>266</v>
      </c>
      <c r="Y54" s="148" t="s">
        <v>168</v>
      </c>
      <c r="Z54" s="166" t="s">
        <v>91</v>
      </c>
      <c r="AA54" s="166"/>
      <c r="AB54" s="29"/>
      <c r="AC54" s="29"/>
      <c r="AD54" s="29"/>
    </row>
    <row r="55" spans="1:30" ht="76.5" hidden="1">
      <c r="A55" s="166">
        <v>53</v>
      </c>
      <c r="B55" s="165"/>
      <c r="C55" s="45" t="s">
        <v>336</v>
      </c>
      <c r="D55" s="148" t="s">
        <v>337</v>
      </c>
      <c r="E55" s="11" t="s">
        <v>227</v>
      </c>
      <c r="F55" s="11" t="s">
        <v>228</v>
      </c>
      <c r="G55" s="10" t="s">
        <v>164</v>
      </c>
      <c r="H55" s="11" t="s">
        <v>338</v>
      </c>
      <c r="I55" s="11" t="s">
        <v>339</v>
      </c>
      <c r="J55" s="26">
        <v>5702.13</v>
      </c>
      <c r="K55" s="26">
        <v>5702.13</v>
      </c>
      <c r="L55" s="11" t="s">
        <v>246</v>
      </c>
      <c r="M55" s="12">
        <v>1956</v>
      </c>
      <c r="N55" s="174" t="s">
        <v>35</v>
      </c>
      <c r="O55" s="10" t="s">
        <v>73</v>
      </c>
      <c r="P55" s="27" t="s">
        <v>74</v>
      </c>
      <c r="Q55" s="197"/>
      <c r="R55" s="198" t="s">
        <v>89</v>
      </c>
      <c r="S55" s="198" t="s">
        <v>35</v>
      </c>
      <c r="T55" s="148" t="s">
        <v>35</v>
      </c>
      <c r="U55" s="148" t="s">
        <v>35</v>
      </c>
      <c r="V55" s="148" t="s">
        <v>35</v>
      </c>
      <c r="W55" s="11" t="s">
        <v>42</v>
      </c>
      <c r="X55" s="27" t="s">
        <v>112</v>
      </c>
      <c r="Y55" s="148" t="s">
        <v>168</v>
      </c>
      <c r="Z55" s="166" t="s">
        <v>91</v>
      </c>
      <c r="AA55" s="166"/>
      <c r="AB55" s="29"/>
      <c r="AC55" s="29"/>
      <c r="AD55" s="29"/>
    </row>
    <row r="56" spans="1:30" ht="156" hidden="1">
      <c r="A56" s="166">
        <v>54</v>
      </c>
      <c r="B56" s="166"/>
      <c r="C56" s="47" t="s">
        <v>341</v>
      </c>
      <c r="D56" s="148" t="s">
        <v>342</v>
      </c>
      <c r="E56" s="11" t="s">
        <v>227</v>
      </c>
      <c r="F56" s="11" t="s">
        <v>228</v>
      </c>
      <c r="G56" s="10" t="s">
        <v>164</v>
      </c>
      <c r="H56" s="63" t="s">
        <v>343</v>
      </c>
      <c r="I56" s="11" t="s">
        <v>165</v>
      </c>
      <c r="J56" s="26">
        <v>5266.2</v>
      </c>
      <c r="K56" s="182">
        <v>0</v>
      </c>
      <c r="L56" s="11" t="s">
        <v>246</v>
      </c>
      <c r="M56" s="12">
        <v>1956</v>
      </c>
      <c r="N56" s="174" t="s">
        <v>35</v>
      </c>
      <c r="O56" s="10" t="s">
        <v>73</v>
      </c>
      <c r="P56" s="27" t="s">
        <v>74</v>
      </c>
      <c r="Q56" s="197"/>
      <c r="R56" s="198" t="s">
        <v>89</v>
      </c>
      <c r="S56" s="198" t="s">
        <v>35</v>
      </c>
      <c r="T56" s="148" t="s">
        <v>35</v>
      </c>
      <c r="U56" s="148" t="s">
        <v>35</v>
      </c>
      <c r="V56" s="148" t="s">
        <v>35</v>
      </c>
      <c r="W56" s="11" t="s">
        <v>42</v>
      </c>
      <c r="X56" s="27" t="s">
        <v>266</v>
      </c>
      <c r="Y56" s="148" t="s">
        <v>168</v>
      </c>
      <c r="Z56" s="166" t="s">
        <v>91</v>
      </c>
      <c r="AA56" s="166"/>
      <c r="AB56" s="29"/>
      <c r="AC56" s="29"/>
      <c r="AD56" s="29"/>
    </row>
    <row r="57" spans="1:30" ht="51" hidden="1">
      <c r="A57" s="166">
        <v>55</v>
      </c>
      <c r="B57" s="165">
        <v>2</v>
      </c>
      <c r="C57" s="169" t="s">
        <v>345</v>
      </c>
      <c r="D57" s="11" t="s">
        <v>346</v>
      </c>
      <c r="E57" s="11" t="s">
        <v>227</v>
      </c>
      <c r="F57" s="11" t="s">
        <v>228</v>
      </c>
      <c r="G57" s="10" t="s">
        <v>164</v>
      </c>
      <c r="H57" s="11" t="s">
        <v>347</v>
      </c>
      <c r="I57" s="11" t="s">
        <v>348</v>
      </c>
      <c r="J57" s="26">
        <v>2871.12</v>
      </c>
      <c r="K57" s="26">
        <v>2871.12</v>
      </c>
      <c r="L57" s="11" t="s">
        <v>246</v>
      </c>
      <c r="M57" s="12">
        <v>1956</v>
      </c>
      <c r="N57" s="174" t="s">
        <v>35</v>
      </c>
      <c r="O57" s="10" t="s">
        <v>73</v>
      </c>
      <c r="P57" s="27" t="s">
        <v>74</v>
      </c>
      <c r="Q57" s="197"/>
      <c r="R57" s="198" t="s">
        <v>89</v>
      </c>
      <c r="S57" s="198" t="s">
        <v>35</v>
      </c>
      <c r="T57" s="148" t="s">
        <v>35</v>
      </c>
      <c r="U57" s="148" t="s">
        <v>35</v>
      </c>
      <c r="V57" s="148" t="s">
        <v>35</v>
      </c>
      <c r="W57" s="11" t="s">
        <v>279</v>
      </c>
      <c r="X57" s="137" t="s">
        <v>112</v>
      </c>
      <c r="Y57" s="11" t="s">
        <v>168</v>
      </c>
      <c r="Z57" s="166" t="s">
        <v>91</v>
      </c>
      <c r="AA57" s="166"/>
      <c r="AB57" s="29"/>
      <c r="AC57" s="29"/>
      <c r="AD57" s="93" t="s">
        <v>2527</v>
      </c>
    </row>
    <row r="58" spans="1:30" ht="51" hidden="1">
      <c r="A58" s="166">
        <v>56</v>
      </c>
      <c r="B58" s="166"/>
      <c r="C58" s="47" t="s">
        <v>350</v>
      </c>
      <c r="D58" s="148" t="s">
        <v>351</v>
      </c>
      <c r="E58" s="11" t="s">
        <v>227</v>
      </c>
      <c r="F58" s="11" t="s">
        <v>228</v>
      </c>
      <c r="G58" s="11" t="s">
        <v>188</v>
      </c>
      <c r="H58" s="11" t="s">
        <v>352</v>
      </c>
      <c r="I58" s="11" t="s">
        <v>353</v>
      </c>
      <c r="J58" s="26">
        <v>850.96</v>
      </c>
      <c r="K58" s="26">
        <v>850.96</v>
      </c>
      <c r="L58" s="11" t="s">
        <v>246</v>
      </c>
      <c r="M58" s="12">
        <v>1956</v>
      </c>
      <c r="N58" s="174" t="s">
        <v>35</v>
      </c>
      <c r="O58" s="10" t="s">
        <v>73</v>
      </c>
      <c r="P58" s="27" t="s">
        <v>74</v>
      </c>
      <c r="Q58" s="197"/>
      <c r="R58" s="198" t="s">
        <v>89</v>
      </c>
      <c r="S58" s="198" t="s">
        <v>35</v>
      </c>
      <c r="T58" s="148" t="s">
        <v>35</v>
      </c>
      <c r="U58" s="148" t="s">
        <v>35</v>
      </c>
      <c r="V58" s="148" t="s">
        <v>35</v>
      </c>
      <c r="W58" s="11" t="s">
        <v>42</v>
      </c>
      <c r="X58" s="27" t="s">
        <v>112</v>
      </c>
      <c r="Y58" s="148" t="s">
        <v>168</v>
      </c>
      <c r="Z58" s="166" t="s">
        <v>91</v>
      </c>
      <c r="AA58" s="166"/>
      <c r="AB58" s="29"/>
      <c r="AC58" s="29"/>
      <c r="AD58" s="29"/>
    </row>
    <row r="59" spans="1:30" ht="102" hidden="1">
      <c r="A59" s="166">
        <v>57</v>
      </c>
      <c r="B59" s="165"/>
      <c r="C59" s="45" t="s">
        <v>355</v>
      </c>
      <c r="D59" s="148" t="s">
        <v>356</v>
      </c>
      <c r="E59" s="11" t="s">
        <v>227</v>
      </c>
      <c r="F59" s="11" t="s">
        <v>228</v>
      </c>
      <c r="G59" s="10" t="s">
        <v>164</v>
      </c>
      <c r="H59" s="11" t="s">
        <v>357</v>
      </c>
      <c r="I59" s="11" t="s">
        <v>348</v>
      </c>
      <c r="J59" s="26">
        <v>11569.56</v>
      </c>
      <c r="K59" s="26">
        <v>11569.56</v>
      </c>
      <c r="L59" s="11" t="s">
        <v>246</v>
      </c>
      <c r="M59" s="12">
        <v>1956</v>
      </c>
      <c r="N59" s="174" t="s">
        <v>35</v>
      </c>
      <c r="O59" s="10" t="s">
        <v>73</v>
      </c>
      <c r="P59" s="27" t="s">
        <v>74</v>
      </c>
      <c r="Q59" s="197"/>
      <c r="R59" s="198" t="s">
        <v>89</v>
      </c>
      <c r="S59" s="198" t="s">
        <v>35</v>
      </c>
      <c r="T59" s="148" t="s">
        <v>35</v>
      </c>
      <c r="U59" s="148" t="s">
        <v>35</v>
      </c>
      <c r="V59" s="148" t="s">
        <v>35</v>
      </c>
      <c r="W59" s="11" t="s">
        <v>42</v>
      </c>
      <c r="X59" s="27" t="s">
        <v>112</v>
      </c>
      <c r="Y59" s="148" t="s">
        <v>168</v>
      </c>
      <c r="Z59" s="166" t="s">
        <v>91</v>
      </c>
      <c r="AA59" s="166"/>
      <c r="AB59" s="29"/>
      <c r="AC59" s="29"/>
      <c r="AD59" s="29"/>
    </row>
    <row r="60" spans="1:30" ht="89.25" hidden="1">
      <c r="A60" s="166">
        <v>58</v>
      </c>
      <c r="B60" s="166">
        <v>3</v>
      </c>
      <c r="C60" s="69" t="s">
        <v>359</v>
      </c>
      <c r="D60" s="11" t="s">
        <v>360</v>
      </c>
      <c r="E60" s="11" t="s">
        <v>227</v>
      </c>
      <c r="F60" s="11" t="s">
        <v>228</v>
      </c>
      <c r="G60" s="11" t="s">
        <v>188</v>
      </c>
      <c r="H60" s="11" t="s">
        <v>361</v>
      </c>
      <c r="I60" s="11" t="s">
        <v>190</v>
      </c>
      <c r="J60" s="26">
        <v>908.03</v>
      </c>
      <c r="K60" s="26">
        <v>908.03</v>
      </c>
      <c r="L60" s="11" t="s">
        <v>246</v>
      </c>
      <c r="M60" s="12">
        <v>1956</v>
      </c>
      <c r="N60" s="174" t="s">
        <v>35</v>
      </c>
      <c r="O60" s="10" t="s">
        <v>73</v>
      </c>
      <c r="P60" s="27" t="s">
        <v>74</v>
      </c>
      <c r="Q60" s="197"/>
      <c r="R60" s="198" t="s">
        <v>89</v>
      </c>
      <c r="S60" s="198" t="s">
        <v>35</v>
      </c>
      <c r="T60" s="148" t="s">
        <v>35</v>
      </c>
      <c r="U60" s="148" t="s">
        <v>35</v>
      </c>
      <c r="V60" s="148" t="s">
        <v>35</v>
      </c>
      <c r="W60" s="11" t="s">
        <v>192</v>
      </c>
      <c r="X60" s="137" t="s">
        <v>112</v>
      </c>
      <c r="Y60" s="11" t="s">
        <v>168</v>
      </c>
      <c r="Z60" s="166" t="s">
        <v>91</v>
      </c>
      <c r="AA60" s="166"/>
      <c r="AB60" s="29"/>
      <c r="AC60" s="29"/>
      <c r="AD60" s="29"/>
    </row>
    <row r="61" spans="1:30" ht="51" hidden="1">
      <c r="A61" s="166">
        <v>59</v>
      </c>
      <c r="B61" s="165"/>
      <c r="C61" s="45" t="s">
        <v>363</v>
      </c>
      <c r="D61" s="148" t="s">
        <v>364</v>
      </c>
      <c r="E61" s="11" t="s">
        <v>227</v>
      </c>
      <c r="F61" s="11" t="s">
        <v>228</v>
      </c>
      <c r="G61" s="11" t="s">
        <v>188</v>
      </c>
      <c r="H61" s="11" t="s">
        <v>365</v>
      </c>
      <c r="I61" s="11" t="s">
        <v>257</v>
      </c>
      <c r="J61" s="26">
        <v>289.24</v>
      </c>
      <c r="K61" s="26">
        <v>289.24</v>
      </c>
      <c r="L61" s="11" t="s">
        <v>246</v>
      </c>
      <c r="M61" s="12">
        <v>1956</v>
      </c>
      <c r="N61" s="174" t="s">
        <v>35</v>
      </c>
      <c r="O61" s="10" t="s">
        <v>73</v>
      </c>
      <c r="P61" s="27" t="s">
        <v>74</v>
      </c>
      <c r="Q61" s="197"/>
      <c r="R61" s="198" t="s">
        <v>89</v>
      </c>
      <c r="S61" s="198" t="s">
        <v>35</v>
      </c>
      <c r="T61" s="148" t="s">
        <v>35</v>
      </c>
      <c r="U61" s="148" t="s">
        <v>35</v>
      </c>
      <c r="V61" s="148" t="s">
        <v>35</v>
      </c>
      <c r="W61" s="11" t="s">
        <v>42</v>
      </c>
      <c r="X61" s="27" t="s">
        <v>112</v>
      </c>
      <c r="Y61" s="148" t="s">
        <v>168</v>
      </c>
      <c r="Z61" s="166" t="s">
        <v>91</v>
      </c>
      <c r="AA61" s="166"/>
      <c r="AB61" s="29"/>
      <c r="AC61" s="29"/>
      <c r="AD61" s="29"/>
    </row>
    <row r="62" spans="1:30" ht="76.5" hidden="1">
      <c r="A62" s="166">
        <v>60</v>
      </c>
      <c r="B62" s="165"/>
      <c r="C62" s="45" t="s">
        <v>367</v>
      </c>
      <c r="D62" s="148" t="s">
        <v>368</v>
      </c>
      <c r="E62" s="11" t="s">
        <v>227</v>
      </c>
      <c r="F62" s="11" t="s">
        <v>228</v>
      </c>
      <c r="G62" s="10" t="s">
        <v>164</v>
      </c>
      <c r="H62" s="11" t="s">
        <v>369</v>
      </c>
      <c r="I62" s="11" t="s">
        <v>370</v>
      </c>
      <c r="J62" s="26">
        <v>5201.3100000000004</v>
      </c>
      <c r="K62" s="26">
        <v>5201.3100000000004</v>
      </c>
      <c r="L62" s="11" t="s">
        <v>246</v>
      </c>
      <c r="M62" s="12">
        <v>1956</v>
      </c>
      <c r="N62" s="174" t="s">
        <v>35</v>
      </c>
      <c r="O62" s="10" t="s">
        <v>73</v>
      </c>
      <c r="P62" s="27" t="s">
        <v>74</v>
      </c>
      <c r="Q62" s="197"/>
      <c r="R62" s="198" t="s">
        <v>89</v>
      </c>
      <c r="S62" s="198" t="s">
        <v>35</v>
      </c>
      <c r="T62" s="148" t="s">
        <v>35</v>
      </c>
      <c r="U62" s="148" t="s">
        <v>35</v>
      </c>
      <c r="V62" s="148" t="s">
        <v>35</v>
      </c>
      <c r="W62" s="11" t="s">
        <v>42</v>
      </c>
      <c r="X62" s="27" t="s">
        <v>112</v>
      </c>
      <c r="Y62" s="148" t="s">
        <v>168</v>
      </c>
      <c r="Z62" s="166" t="s">
        <v>91</v>
      </c>
      <c r="AA62" s="166"/>
      <c r="AB62" s="29"/>
      <c r="AC62" s="29"/>
      <c r="AD62" s="29"/>
    </row>
    <row r="63" spans="1:30" ht="89.25" hidden="1">
      <c r="A63" s="166">
        <v>61</v>
      </c>
      <c r="B63" s="166"/>
      <c r="C63" s="47" t="s">
        <v>372</v>
      </c>
      <c r="D63" s="148" t="s">
        <v>373</v>
      </c>
      <c r="E63" s="11" t="s">
        <v>30</v>
      </c>
      <c r="F63" s="12" t="s">
        <v>31</v>
      </c>
      <c r="G63" s="10" t="s">
        <v>155</v>
      </c>
      <c r="H63" s="11" t="s">
        <v>374</v>
      </c>
      <c r="I63" s="11" t="s">
        <v>197</v>
      </c>
      <c r="J63" s="26">
        <v>50.21</v>
      </c>
      <c r="K63" s="26">
        <v>50.21</v>
      </c>
      <c r="L63" s="11" t="s">
        <v>375</v>
      </c>
      <c r="M63" s="12">
        <v>1963</v>
      </c>
      <c r="N63" s="174" t="s">
        <v>35</v>
      </c>
      <c r="O63" s="10" t="s">
        <v>1852</v>
      </c>
      <c r="P63" s="27" t="s">
        <v>37</v>
      </c>
      <c r="Q63" s="197"/>
      <c r="R63" s="198" t="s">
        <v>89</v>
      </c>
      <c r="S63" s="198" t="s">
        <v>35</v>
      </c>
      <c r="T63" s="148" t="s">
        <v>35</v>
      </c>
      <c r="U63" s="148" t="s">
        <v>35</v>
      </c>
      <c r="V63" s="148" t="s">
        <v>35</v>
      </c>
      <c r="W63" s="11" t="s">
        <v>42</v>
      </c>
      <c r="X63" s="27" t="s">
        <v>112</v>
      </c>
      <c r="Y63" s="148" t="s">
        <v>168</v>
      </c>
      <c r="Z63" s="166" t="s">
        <v>91</v>
      </c>
      <c r="AA63" s="166"/>
      <c r="AB63" s="29"/>
      <c r="AC63" s="29"/>
      <c r="AD63" s="29"/>
    </row>
    <row r="64" spans="1:30" ht="63.75" hidden="1">
      <c r="A64" s="166">
        <v>62</v>
      </c>
      <c r="B64" s="165">
        <v>4</v>
      </c>
      <c r="C64" s="169" t="s">
        <v>379</v>
      </c>
      <c r="D64" s="11" t="s">
        <v>380</v>
      </c>
      <c r="E64" s="14" t="s">
        <v>30</v>
      </c>
      <c r="F64" s="12" t="s">
        <v>31</v>
      </c>
      <c r="G64" s="11" t="s">
        <v>321</v>
      </c>
      <c r="H64" s="11" t="s">
        <v>381</v>
      </c>
      <c r="I64" s="11" t="s">
        <v>382</v>
      </c>
      <c r="J64" s="26">
        <v>2000</v>
      </c>
      <c r="K64" s="26">
        <v>2000</v>
      </c>
      <c r="L64" s="14" t="s">
        <v>383</v>
      </c>
      <c r="M64" s="12">
        <v>1969</v>
      </c>
      <c r="N64" s="174" t="s">
        <v>35</v>
      </c>
      <c r="O64" s="10" t="s">
        <v>73</v>
      </c>
      <c r="P64" s="27" t="s">
        <v>74</v>
      </c>
      <c r="Q64" s="53"/>
      <c r="R64" s="194" t="s">
        <v>38</v>
      </c>
      <c r="S64" s="194" t="s">
        <v>39</v>
      </c>
      <c r="T64" s="200" t="s">
        <v>384</v>
      </c>
      <c r="U64" s="195">
        <v>2004</v>
      </c>
      <c r="V64" s="196" t="s">
        <v>55</v>
      </c>
      <c r="W64" s="65" t="s">
        <v>192</v>
      </c>
      <c r="X64" s="137" t="s">
        <v>112</v>
      </c>
      <c r="Y64" s="11" t="s">
        <v>168</v>
      </c>
      <c r="Z64" s="166" t="s">
        <v>91</v>
      </c>
      <c r="AA64" s="166"/>
      <c r="AB64" s="29"/>
      <c r="AC64" s="29"/>
      <c r="AD64" s="96" t="s">
        <v>2527</v>
      </c>
    </row>
    <row r="65" spans="1:30" ht="42.75" hidden="1" customHeight="1">
      <c r="A65" s="166">
        <v>63</v>
      </c>
      <c r="B65" s="165"/>
      <c r="C65" s="45" t="s">
        <v>386</v>
      </c>
      <c r="D65" s="148" t="s">
        <v>387</v>
      </c>
      <c r="E65" s="11" t="s">
        <v>30</v>
      </c>
      <c r="F65" s="12" t="s">
        <v>31</v>
      </c>
      <c r="G65" s="11" t="s">
        <v>210</v>
      </c>
      <c r="H65" s="11" t="s">
        <v>388</v>
      </c>
      <c r="I65" s="11" t="s">
        <v>212</v>
      </c>
      <c r="J65" s="26">
        <v>8</v>
      </c>
      <c r="K65" s="26">
        <v>8</v>
      </c>
      <c r="L65" s="11" t="s">
        <v>389</v>
      </c>
      <c r="M65" s="12">
        <v>1972</v>
      </c>
      <c r="N65" s="174" t="s">
        <v>35</v>
      </c>
      <c r="O65" s="10" t="s">
        <v>73</v>
      </c>
      <c r="P65" s="27" t="s">
        <v>74</v>
      </c>
      <c r="Q65" s="197"/>
      <c r="R65" s="198" t="s">
        <v>89</v>
      </c>
      <c r="S65" s="198" t="s">
        <v>35</v>
      </c>
      <c r="T65" s="148" t="s">
        <v>35</v>
      </c>
      <c r="U65" s="148" t="s">
        <v>35</v>
      </c>
      <c r="V65" s="148" t="s">
        <v>35</v>
      </c>
      <c r="W65" s="11" t="s">
        <v>42</v>
      </c>
      <c r="X65" s="27" t="s">
        <v>112</v>
      </c>
      <c r="Y65" s="148" t="s">
        <v>168</v>
      </c>
      <c r="Z65" s="166" t="s">
        <v>91</v>
      </c>
      <c r="AA65" s="166"/>
      <c r="AB65" s="29"/>
      <c r="AC65" s="29"/>
      <c r="AD65" s="29"/>
    </row>
    <row r="66" spans="1:30" ht="63.75" hidden="1">
      <c r="A66" s="166">
        <v>64</v>
      </c>
      <c r="B66" s="165"/>
      <c r="C66" s="45" t="s">
        <v>391</v>
      </c>
      <c r="D66" s="200" t="s">
        <v>392</v>
      </c>
      <c r="E66" s="11" t="s">
        <v>48</v>
      </c>
      <c r="F66" s="12" t="s">
        <v>49</v>
      </c>
      <c r="G66" s="11" t="s">
        <v>180</v>
      </c>
      <c r="H66" s="11" t="s">
        <v>393</v>
      </c>
      <c r="I66" s="11" t="s">
        <v>394</v>
      </c>
      <c r="J66" s="31">
        <v>983.29200000000003</v>
      </c>
      <c r="K66" s="31">
        <v>983.29200000000003</v>
      </c>
      <c r="L66" s="11" t="s">
        <v>395</v>
      </c>
      <c r="M66" s="12">
        <v>1977</v>
      </c>
      <c r="N66" s="174" t="s">
        <v>35</v>
      </c>
      <c r="O66" s="10" t="s">
        <v>51</v>
      </c>
      <c r="P66" s="27" t="s">
        <v>37</v>
      </c>
      <c r="Q66" s="27"/>
      <c r="R66" s="190" t="s">
        <v>38</v>
      </c>
      <c r="S66" s="194" t="s">
        <v>396</v>
      </c>
      <c r="T66" s="200" t="s">
        <v>397</v>
      </c>
      <c r="U66" s="195">
        <v>2000</v>
      </c>
      <c r="V66" s="196" t="s">
        <v>398</v>
      </c>
      <c r="W66" s="10" t="s">
        <v>42</v>
      </c>
      <c r="X66" s="27" t="s">
        <v>112</v>
      </c>
      <c r="Y66" s="148" t="s">
        <v>399</v>
      </c>
      <c r="Z66" s="166" t="s">
        <v>91</v>
      </c>
      <c r="AA66" s="166"/>
      <c r="AB66" s="29"/>
      <c r="AC66" s="29"/>
      <c r="AD66" s="29"/>
    </row>
    <row r="67" spans="1:30" ht="192.75" hidden="1" customHeight="1">
      <c r="A67" s="166">
        <v>65</v>
      </c>
      <c r="B67" s="166">
        <v>5</v>
      </c>
      <c r="C67" s="69" t="s">
        <v>401</v>
      </c>
      <c r="D67" s="11" t="s">
        <v>402</v>
      </c>
      <c r="E67" s="14" t="s">
        <v>403</v>
      </c>
      <c r="F67" s="12" t="s">
        <v>127</v>
      </c>
      <c r="G67" s="11" t="s">
        <v>188</v>
      </c>
      <c r="H67" s="11" t="s">
        <v>404</v>
      </c>
      <c r="I67" s="11" t="s">
        <v>190</v>
      </c>
      <c r="J67" s="26">
        <v>2800</v>
      </c>
      <c r="K67" s="26">
        <v>2800</v>
      </c>
      <c r="L67" s="11" t="s">
        <v>405</v>
      </c>
      <c r="M67" s="12">
        <v>1977</v>
      </c>
      <c r="N67" s="174" t="s">
        <v>35</v>
      </c>
      <c r="O67" s="10" t="s">
        <v>51</v>
      </c>
      <c r="P67" s="27" t="s">
        <v>37</v>
      </c>
      <c r="Q67" s="27"/>
      <c r="R67" s="190" t="s">
        <v>38</v>
      </c>
      <c r="S67" s="194" t="s">
        <v>39</v>
      </c>
      <c r="T67" s="200" t="s">
        <v>406</v>
      </c>
      <c r="U67" s="195">
        <v>2000</v>
      </c>
      <c r="V67" s="196" t="s">
        <v>407</v>
      </c>
      <c r="W67" s="65" t="s">
        <v>192</v>
      </c>
      <c r="X67" s="137" t="s">
        <v>112</v>
      </c>
      <c r="Y67" s="11"/>
      <c r="Z67" s="12"/>
      <c r="AA67" s="12"/>
      <c r="AB67" s="29"/>
      <c r="AC67" s="29"/>
      <c r="AD67" s="29"/>
    </row>
    <row r="68" spans="1:30" ht="33.75" hidden="1">
      <c r="A68" s="166">
        <v>66</v>
      </c>
      <c r="B68" s="165"/>
      <c r="C68" s="45" t="s">
        <v>408</v>
      </c>
      <c r="D68" s="148" t="s">
        <v>409</v>
      </c>
      <c r="E68" s="11" t="s">
        <v>30</v>
      </c>
      <c r="F68" s="12" t="s">
        <v>31</v>
      </c>
      <c r="G68" s="11" t="s">
        <v>32</v>
      </c>
      <c r="H68" s="11" t="s">
        <v>118</v>
      </c>
      <c r="I68" s="11" t="s">
        <v>32</v>
      </c>
      <c r="J68" s="26">
        <v>1105</v>
      </c>
      <c r="K68" s="182">
        <v>0</v>
      </c>
      <c r="L68" s="11" t="s">
        <v>410</v>
      </c>
      <c r="M68" s="12">
        <v>1980</v>
      </c>
      <c r="N68" s="174" t="s">
        <v>35</v>
      </c>
      <c r="O68" s="10" t="s">
        <v>191</v>
      </c>
      <c r="P68" s="27" t="s">
        <v>37</v>
      </c>
      <c r="Q68" s="197"/>
      <c r="R68" s="198" t="s">
        <v>89</v>
      </c>
      <c r="S68" s="198" t="s">
        <v>35</v>
      </c>
      <c r="T68" s="148" t="s">
        <v>35</v>
      </c>
      <c r="U68" s="148" t="s">
        <v>35</v>
      </c>
      <c r="V68" s="148" t="s">
        <v>35</v>
      </c>
      <c r="W68" s="11" t="s">
        <v>42</v>
      </c>
      <c r="X68" s="27" t="s">
        <v>411</v>
      </c>
      <c r="Y68" s="11" t="s">
        <v>168</v>
      </c>
      <c r="Z68" s="12" t="s">
        <v>91</v>
      </c>
      <c r="AA68" s="12"/>
      <c r="AB68" s="29"/>
      <c r="AC68" s="29"/>
      <c r="AD68" s="29"/>
    </row>
    <row r="69" spans="1:30" ht="38.25" hidden="1">
      <c r="A69" s="166">
        <v>67</v>
      </c>
      <c r="B69" s="166"/>
      <c r="C69" s="47" t="s">
        <v>413</v>
      </c>
      <c r="D69" s="148" t="s">
        <v>414</v>
      </c>
      <c r="E69" s="11" t="s">
        <v>30</v>
      </c>
      <c r="F69" s="12" t="s">
        <v>31</v>
      </c>
      <c r="G69" s="11" t="s">
        <v>180</v>
      </c>
      <c r="H69" s="11" t="s">
        <v>415</v>
      </c>
      <c r="I69" s="11" t="s">
        <v>182</v>
      </c>
      <c r="J69" s="26">
        <v>81.003</v>
      </c>
      <c r="K69" s="26">
        <v>81.003</v>
      </c>
      <c r="L69" s="11" t="s">
        <v>416</v>
      </c>
      <c r="M69" s="12">
        <v>1980</v>
      </c>
      <c r="N69" s="174" t="s">
        <v>35</v>
      </c>
      <c r="O69" s="10" t="s">
        <v>191</v>
      </c>
      <c r="P69" s="27" t="s">
        <v>37</v>
      </c>
      <c r="Q69" s="53"/>
      <c r="R69" s="198" t="s">
        <v>89</v>
      </c>
      <c r="S69" s="198" t="s">
        <v>35</v>
      </c>
      <c r="T69" s="148" t="s">
        <v>35</v>
      </c>
      <c r="U69" s="148" t="s">
        <v>35</v>
      </c>
      <c r="V69" s="148" t="s">
        <v>35</v>
      </c>
      <c r="W69" s="11" t="s">
        <v>42</v>
      </c>
      <c r="X69" s="27" t="s">
        <v>112</v>
      </c>
      <c r="Y69" s="11"/>
      <c r="Z69" s="12"/>
      <c r="AA69" s="12"/>
      <c r="AB69" s="29"/>
      <c r="AC69" s="29"/>
      <c r="AD69" s="29"/>
    </row>
    <row r="70" spans="1:30" ht="89.25" hidden="1">
      <c r="A70" s="166">
        <v>68</v>
      </c>
      <c r="B70" s="165"/>
      <c r="C70" s="45" t="s">
        <v>418</v>
      </c>
      <c r="D70" s="170" t="s">
        <v>419</v>
      </c>
      <c r="E70" s="11" t="s">
        <v>105</v>
      </c>
      <c r="F70" s="12" t="s">
        <v>106</v>
      </c>
      <c r="G70" s="11" t="s">
        <v>172</v>
      </c>
      <c r="H70" s="11" t="s">
        <v>420</v>
      </c>
      <c r="I70" s="11" t="s">
        <v>421</v>
      </c>
      <c r="J70" s="26">
        <v>22114.45</v>
      </c>
      <c r="K70" s="26">
        <v>22114.45</v>
      </c>
      <c r="L70" s="11" t="s">
        <v>422</v>
      </c>
      <c r="M70" s="12">
        <v>1987</v>
      </c>
      <c r="N70" s="174" t="s">
        <v>35</v>
      </c>
      <c r="O70" s="10" t="s">
        <v>423</v>
      </c>
      <c r="P70" s="27" t="s">
        <v>62</v>
      </c>
      <c r="Q70" s="233" t="s">
        <v>325</v>
      </c>
      <c r="R70" s="198" t="s">
        <v>89</v>
      </c>
      <c r="S70" s="199" t="s">
        <v>90</v>
      </c>
      <c r="T70" s="148" t="s">
        <v>35</v>
      </c>
      <c r="U70" s="148" t="s">
        <v>35</v>
      </c>
      <c r="V70" s="148" t="s">
        <v>35</v>
      </c>
      <c r="W70" s="11" t="s">
        <v>42</v>
      </c>
      <c r="X70" s="27" t="s">
        <v>112</v>
      </c>
      <c r="Y70" s="11"/>
      <c r="Z70" s="12"/>
      <c r="AA70" s="12"/>
      <c r="AB70" s="29"/>
      <c r="AC70" s="29"/>
      <c r="AD70" s="29"/>
    </row>
    <row r="71" spans="1:30" ht="33.75" hidden="1">
      <c r="A71" s="166">
        <v>69</v>
      </c>
      <c r="B71" s="166"/>
      <c r="C71" s="47" t="s">
        <v>425</v>
      </c>
      <c r="D71" s="148" t="s">
        <v>426</v>
      </c>
      <c r="E71" s="11" t="s">
        <v>48</v>
      </c>
      <c r="F71" s="12" t="s">
        <v>49</v>
      </c>
      <c r="G71" s="11" t="s">
        <v>210</v>
      </c>
      <c r="H71" s="11" t="s">
        <v>211</v>
      </c>
      <c r="I71" s="11" t="s">
        <v>212</v>
      </c>
      <c r="J71" s="225">
        <v>6265</v>
      </c>
      <c r="K71" s="225">
        <v>6265</v>
      </c>
      <c r="L71" s="11" t="s">
        <v>427</v>
      </c>
      <c r="M71" s="12">
        <v>1990</v>
      </c>
      <c r="N71" s="174" t="s">
        <v>35</v>
      </c>
      <c r="O71" s="10" t="s">
        <v>51</v>
      </c>
      <c r="P71" s="27" t="s">
        <v>37</v>
      </c>
      <c r="Q71" s="27"/>
      <c r="R71" s="198" t="s">
        <v>89</v>
      </c>
      <c r="S71" s="198" t="s">
        <v>35</v>
      </c>
      <c r="T71" s="148" t="s">
        <v>35</v>
      </c>
      <c r="U71" s="148" t="s">
        <v>35</v>
      </c>
      <c r="V71" s="148" t="s">
        <v>35</v>
      </c>
      <c r="W71" s="11" t="s">
        <v>42</v>
      </c>
      <c r="X71" s="27" t="s">
        <v>112</v>
      </c>
      <c r="Y71" s="11"/>
      <c r="Z71" s="12"/>
      <c r="AA71" s="12"/>
      <c r="AB71" s="29"/>
      <c r="AC71" s="29"/>
      <c r="AD71" s="29"/>
    </row>
    <row r="72" spans="1:30" ht="47.25" customHeight="1">
      <c r="A72" s="166">
        <v>70</v>
      </c>
      <c r="B72" s="165">
        <v>23</v>
      </c>
      <c r="C72" s="167" t="s">
        <v>428</v>
      </c>
      <c r="D72" s="10" t="s">
        <v>2533</v>
      </c>
      <c r="E72" s="10" t="s">
        <v>105</v>
      </c>
      <c r="F72" s="12" t="s">
        <v>106</v>
      </c>
      <c r="G72" s="11" t="s">
        <v>430</v>
      </c>
      <c r="H72" s="11" t="s">
        <v>156</v>
      </c>
      <c r="I72" s="11" t="s">
        <v>431</v>
      </c>
      <c r="J72" s="26">
        <v>240536.82</v>
      </c>
      <c r="K72" s="26">
        <v>240536.82</v>
      </c>
      <c r="L72" s="10" t="s">
        <v>432</v>
      </c>
      <c r="M72" s="67">
        <v>1990</v>
      </c>
      <c r="N72" s="174" t="s">
        <v>35</v>
      </c>
      <c r="O72" s="136" t="s">
        <v>433</v>
      </c>
      <c r="P72" s="27" t="s">
        <v>37</v>
      </c>
      <c r="Q72" s="53"/>
      <c r="R72" s="190" t="s">
        <v>38</v>
      </c>
      <c r="S72" s="194" t="s">
        <v>53</v>
      </c>
      <c r="T72" s="200" t="s">
        <v>434</v>
      </c>
      <c r="U72" s="195">
        <v>2011</v>
      </c>
      <c r="V72" s="196" t="s">
        <v>145</v>
      </c>
      <c r="W72" s="54" t="s">
        <v>66</v>
      </c>
      <c r="X72" s="137" t="s">
        <v>112</v>
      </c>
      <c r="Y72" s="10" t="s">
        <v>435</v>
      </c>
      <c r="Z72" s="11" t="s">
        <v>436</v>
      </c>
      <c r="AA72" s="11"/>
      <c r="AB72" s="29"/>
      <c r="AC72" s="29"/>
      <c r="AD72" s="29"/>
    </row>
    <row r="73" spans="1:30" ht="51.75" customHeight="1">
      <c r="A73" s="166">
        <v>71</v>
      </c>
      <c r="B73" s="166">
        <v>24</v>
      </c>
      <c r="C73" s="69" t="s">
        <v>455</v>
      </c>
      <c r="D73" s="10" t="s">
        <v>2534</v>
      </c>
      <c r="E73" s="10" t="s">
        <v>126</v>
      </c>
      <c r="F73" s="12" t="s">
        <v>127</v>
      </c>
      <c r="G73" s="11" t="s">
        <v>210</v>
      </c>
      <c r="H73" s="11" t="s">
        <v>457</v>
      </c>
      <c r="I73" s="11" t="s">
        <v>212</v>
      </c>
      <c r="J73" s="26">
        <v>20760</v>
      </c>
      <c r="K73" s="26">
        <v>20760</v>
      </c>
      <c r="L73" s="10" t="s">
        <v>458</v>
      </c>
      <c r="M73" s="67">
        <v>1996</v>
      </c>
      <c r="N73" s="174" t="s">
        <v>35</v>
      </c>
      <c r="O73" s="10" t="s">
        <v>61</v>
      </c>
      <c r="P73" s="27" t="s">
        <v>62</v>
      </c>
      <c r="Q73" s="53"/>
      <c r="R73" s="190" t="s">
        <v>38</v>
      </c>
      <c r="S73" s="194" t="s">
        <v>53</v>
      </c>
      <c r="T73" s="200" t="s">
        <v>459</v>
      </c>
      <c r="U73" s="195">
        <v>2004</v>
      </c>
      <c r="V73" s="196" t="s">
        <v>460</v>
      </c>
      <c r="W73" s="54" t="s">
        <v>66</v>
      </c>
      <c r="X73" s="137" t="s">
        <v>112</v>
      </c>
      <c r="Y73" s="10" t="s">
        <v>461</v>
      </c>
      <c r="Z73" s="11" t="s">
        <v>462</v>
      </c>
      <c r="AA73" s="11"/>
      <c r="AB73" s="135"/>
      <c r="AC73" s="135"/>
      <c r="AD73" s="148" t="s">
        <v>2535</v>
      </c>
    </row>
    <row r="74" spans="1:30" ht="63.75">
      <c r="A74" s="166">
        <v>72</v>
      </c>
      <c r="B74" s="165">
        <v>25</v>
      </c>
      <c r="C74" s="167" t="s">
        <v>472</v>
      </c>
      <c r="D74" s="10" t="s">
        <v>473</v>
      </c>
      <c r="E74" s="10" t="s">
        <v>474</v>
      </c>
      <c r="F74" s="12" t="s">
        <v>127</v>
      </c>
      <c r="G74" s="11" t="s">
        <v>210</v>
      </c>
      <c r="H74" s="11" t="s">
        <v>475</v>
      </c>
      <c r="I74" s="11" t="s">
        <v>212</v>
      </c>
      <c r="J74" s="26">
        <v>47433</v>
      </c>
      <c r="K74" s="26">
        <v>47433</v>
      </c>
      <c r="L74" s="10" t="s">
        <v>476</v>
      </c>
      <c r="M74" s="67">
        <v>1996</v>
      </c>
      <c r="N74" s="174" t="s">
        <v>35</v>
      </c>
      <c r="O74" s="136" t="s">
        <v>477</v>
      </c>
      <c r="P74" s="27" t="s">
        <v>62</v>
      </c>
      <c r="Q74" s="53" t="s">
        <v>478</v>
      </c>
      <c r="R74" s="190" t="s">
        <v>38</v>
      </c>
      <c r="S74" s="194" t="s">
        <v>39</v>
      </c>
      <c r="T74" s="200" t="s">
        <v>479</v>
      </c>
      <c r="U74" s="195">
        <v>2008</v>
      </c>
      <c r="V74" s="195" t="s">
        <v>121</v>
      </c>
      <c r="W74" s="54" t="s">
        <v>66</v>
      </c>
      <c r="X74" s="137" t="s">
        <v>112</v>
      </c>
      <c r="Y74" s="10" t="s">
        <v>480</v>
      </c>
      <c r="Z74" s="11" t="s">
        <v>480</v>
      </c>
      <c r="AA74" s="11"/>
      <c r="AB74" s="29"/>
      <c r="AC74" s="93" t="s">
        <v>2536</v>
      </c>
      <c r="AD74" s="148" t="s">
        <v>2537</v>
      </c>
    </row>
    <row r="75" spans="1:30" ht="89.25" hidden="1">
      <c r="A75" s="166">
        <v>73</v>
      </c>
      <c r="B75" s="166"/>
      <c r="C75" s="47" t="s">
        <v>481</v>
      </c>
      <c r="D75" s="200" t="s">
        <v>482</v>
      </c>
      <c r="E75" s="11" t="s">
        <v>30</v>
      </c>
      <c r="F75" s="12" t="s">
        <v>31</v>
      </c>
      <c r="G75" s="11" t="s">
        <v>180</v>
      </c>
      <c r="H75" s="11" t="s">
        <v>415</v>
      </c>
      <c r="I75" s="11" t="s">
        <v>182</v>
      </c>
      <c r="J75" s="26">
        <v>14301.26</v>
      </c>
      <c r="K75" s="26">
        <v>14301.26</v>
      </c>
      <c r="L75" s="11" t="s">
        <v>483</v>
      </c>
      <c r="M75" s="12">
        <v>1996</v>
      </c>
      <c r="N75" s="174" t="s">
        <v>35</v>
      </c>
      <c r="O75" s="10" t="s">
        <v>191</v>
      </c>
      <c r="P75" s="27" t="s">
        <v>37</v>
      </c>
      <c r="Q75" s="53" t="s">
        <v>63</v>
      </c>
      <c r="R75" s="194" t="s">
        <v>38</v>
      </c>
      <c r="S75" s="194" t="s">
        <v>53</v>
      </c>
      <c r="T75" s="200" t="s">
        <v>484</v>
      </c>
      <c r="U75" s="195">
        <v>2004</v>
      </c>
      <c r="V75" s="196" t="s">
        <v>460</v>
      </c>
      <c r="W75" s="65" t="s">
        <v>42</v>
      </c>
      <c r="X75" s="27" t="s">
        <v>112</v>
      </c>
      <c r="Y75" s="148" t="s">
        <v>485</v>
      </c>
      <c r="Z75" s="166" t="s">
        <v>69</v>
      </c>
      <c r="AA75" s="166"/>
      <c r="AB75" s="29"/>
      <c r="AC75" s="29"/>
      <c r="AD75" s="29"/>
    </row>
    <row r="76" spans="1:30" ht="86.25" customHeight="1">
      <c r="A76" s="166">
        <v>74</v>
      </c>
      <c r="B76" s="166">
        <v>26</v>
      </c>
      <c r="C76" s="69" t="s">
        <v>505</v>
      </c>
      <c r="D76" s="10" t="s">
        <v>506</v>
      </c>
      <c r="E76" s="10" t="s">
        <v>507</v>
      </c>
      <c r="F76" s="12" t="s">
        <v>127</v>
      </c>
      <c r="G76" s="11" t="s">
        <v>201</v>
      </c>
      <c r="H76" s="11" t="s">
        <v>508</v>
      </c>
      <c r="I76" s="11" t="s">
        <v>509</v>
      </c>
      <c r="J76" s="26">
        <v>5372</v>
      </c>
      <c r="K76" s="26">
        <v>5372</v>
      </c>
      <c r="L76" s="10" t="s">
        <v>510</v>
      </c>
      <c r="M76" s="67">
        <v>1997</v>
      </c>
      <c r="N76" s="174" t="s">
        <v>35</v>
      </c>
      <c r="O76" s="10" t="s">
        <v>73</v>
      </c>
      <c r="P76" s="27" t="s">
        <v>74</v>
      </c>
      <c r="Q76" s="197"/>
      <c r="R76" s="190" t="s">
        <v>38</v>
      </c>
      <c r="S76" s="194" t="s">
        <v>39</v>
      </c>
      <c r="T76" s="200" t="s">
        <v>512</v>
      </c>
      <c r="U76" s="195">
        <v>2010</v>
      </c>
      <c r="V76" s="196" t="s">
        <v>513</v>
      </c>
      <c r="W76" s="54" t="s">
        <v>66</v>
      </c>
      <c r="X76" s="137" t="s">
        <v>112</v>
      </c>
      <c r="Y76" s="10"/>
      <c r="Z76" s="213"/>
      <c r="AA76" s="12"/>
      <c r="AB76" s="29"/>
      <c r="AC76" s="93" t="s">
        <v>2538</v>
      </c>
      <c r="AD76" s="238" t="s">
        <v>2539</v>
      </c>
    </row>
    <row r="77" spans="1:30" ht="48" customHeight="1">
      <c r="A77" s="166">
        <v>75</v>
      </c>
      <c r="B77" s="165">
        <v>27</v>
      </c>
      <c r="C77" s="167" t="s">
        <v>533</v>
      </c>
      <c r="D77" s="10" t="s">
        <v>534</v>
      </c>
      <c r="E77" s="10" t="s">
        <v>105</v>
      </c>
      <c r="F77" s="12" t="s">
        <v>106</v>
      </c>
      <c r="G77" s="10" t="s">
        <v>535</v>
      </c>
      <c r="H77" s="11" t="s">
        <v>536</v>
      </c>
      <c r="I77" s="11" t="s">
        <v>537</v>
      </c>
      <c r="J77" s="26">
        <v>45000</v>
      </c>
      <c r="K77" s="26">
        <v>45000</v>
      </c>
      <c r="L77" s="10" t="s">
        <v>538</v>
      </c>
      <c r="M77" s="67">
        <v>1997</v>
      </c>
      <c r="N77" s="174" t="s">
        <v>35</v>
      </c>
      <c r="O77" s="10" t="s">
        <v>73</v>
      </c>
      <c r="P77" s="27" t="s">
        <v>74</v>
      </c>
      <c r="Q77" s="197"/>
      <c r="R77" s="198" t="s">
        <v>89</v>
      </c>
      <c r="S77" s="198" t="s">
        <v>35</v>
      </c>
      <c r="T77" s="148" t="s">
        <v>35</v>
      </c>
      <c r="U77" s="148" t="s">
        <v>35</v>
      </c>
      <c r="V77" s="148" t="s">
        <v>35</v>
      </c>
      <c r="W77" s="54" t="s">
        <v>66</v>
      </c>
      <c r="X77" s="137" t="s">
        <v>112</v>
      </c>
      <c r="Y77" s="10"/>
      <c r="Z77" s="213"/>
      <c r="AA77" s="12" t="s">
        <v>42</v>
      </c>
      <c r="AB77" s="135">
        <v>1996</v>
      </c>
      <c r="AC77" s="93" t="s">
        <v>2540</v>
      </c>
      <c r="AD77" s="216" t="s">
        <v>2527</v>
      </c>
    </row>
    <row r="78" spans="1:30" ht="63.75">
      <c r="A78" s="166">
        <v>76</v>
      </c>
      <c r="B78" s="166">
        <v>28</v>
      </c>
      <c r="C78" s="69" t="s">
        <v>550</v>
      </c>
      <c r="D78" s="10" t="s">
        <v>551</v>
      </c>
      <c r="E78" s="10" t="s">
        <v>403</v>
      </c>
      <c r="F78" s="12" t="s">
        <v>127</v>
      </c>
      <c r="G78" s="11" t="s">
        <v>188</v>
      </c>
      <c r="H78" s="11" t="s">
        <v>552</v>
      </c>
      <c r="I78" s="11" t="s">
        <v>553</v>
      </c>
      <c r="J78" s="26">
        <v>2012</v>
      </c>
      <c r="K78" s="26">
        <v>2012</v>
      </c>
      <c r="L78" s="10" t="s">
        <v>554</v>
      </c>
      <c r="M78" s="67">
        <v>1998</v>
      </c>
      <c r="N78" s="174" t="s">
        <v>35</v>
      </c>
      <c r="O78" s="10" t="s">
        <v>555</v>
      </c>
      <c r="P78" s="27" t="s">
        <v>62</v>
      </c>
      <c r="Q78" s="53" t="s">
        <v>63</v>
      </c>
      <c r="R78" s="190" t="s">
        <v>38</v>
      </c>
      <c r="S78" s="194" t="s">
        <v>39</v>
      </c>
      <c r="T78" s="200" t="s">
        <v>556</v>
      </c>
      <c r="U78" s="195">
        <v>2001</v>
      </c>
      <c r="V78" s="196" t="s">
        <v>557</v>
      </c>
      <c r="W78" s="54" t="s">
        <v>66</v>
      </c>
      <c r="X78" s="137" t="s">
        <v>112</v>
      </c>
      <c r="Y78" s="10" t="s">
        <v>554</v>
      </c>
      <c r="Z78" s="148" t="s">
        <v>558</v>
      </c>
      <c r="AA78" s="148"/>
      <c r="AB78" s="29"/>
      <c r="AC78" s="214">
        <v>35735</v>
      </c>
      <c r="AD78" s="148" t="s">
        <v>2541</v>
      </c>
    </row>
    <row r="79" spans="1:30" ht="63.75">
      <c r="A79" s="166">
        <v>77</v>
      </c>
      <c r="B79" s="165">
        <v>29</v>
      </c>
      <c r="C79" s="167" t="s">
        <v>574</v>
      </c>
      <c r="D79" s="10" t="s">
        <v>575</v>
      </c>
      <c r="E79" s="10" t="s">
        <v>576</v>
      </c>
      <c r="F79" s="64" t="s">
        <v>497</v>
      </c>
      <c r="G79" s="11" t="s">
        <v>188</v>
      </c>
      <c r="H79" s="65" t="s">
        <v>577</v>
      </c>
      <c r="I79" s="11" t="s">
        <v>262</v>
      </c>
      <c r="J79" s="26">
        <v>2673</v>
      </c>
      <c r="K79" s="26">
        <v>2673</v>
      </c>
      <c r="L79" s="10" t="s">
        <v>578</v>
      </c>
      <c r="M79" s="67">
        <v>1999</v>
      </c>
      <c r="N79" s="174" t="s">
        <v>35</v>
      </c>
      <c r="O79" s="10" t="s">
        <v>73</v>
      </c>
      <c r="P79" s="27" t="s">
        <v>74</v>
      </c>
      <c r="Q79" s="197"/>
      <c r="R79" s="190" t="s">
        <v>38</v>
      </c>
      <c r="S79" s="194" t="s">
        <v>53</v>
      </c>
      <c r="T79" s="200" t="s">
        <v>579</v>
      </c>
      <c r="U79" s="195">
        <v>2008</v>
      </c>
      <c r="V79" s="195" t="s">
        <v>121</v>
      </c>
      <c r="W79" s="54" t="s">
        <v>66</v>
      </c>
      <c r="X79" s="137" t="s">
        <v>112</v>
      </c>
      <c r="Y79" s="10" t="s">
        <v>580</v>
      </c>
      <c r="Z79" s="166" t="s">
        <v>69</v>
      </c>
      <c r="AA79" s="166"/>
      <c r="AB79" s="29"/>
      <c r="AC79" s="214">
        <v>36342</v>
      </c>
      <c r="AD79" s="148" t="s">
        <v>2542</v>
      </c>
    </row>
    <row r="80" spans="1:30" ht="63.75">
      <c r="A80" s="166">
        <v>78</v>
      </c>
      <c r="B80" s="165">
        <v>30</v>
      </c>
      <c r="C80" s="167" t="s">
        <v>824</v>
      </c>
      <c r="D80" s="10" t="s">
        <v>2543</v>
      </c>
      <c r="E80" s="10" t="s">
        <v>403</v>
      </c>
      <c r="F80" s="12" t="s">
        <v>127</v>
      </c>
      <c r="G80" s="67" t="s">
        <v>210</v>
      </c>
      <c r="H80" s="11" t="s">
        <v>211</v>
      </c>
      <c r="I80" s="10" t="s">
        <v>212</v>
      </c>
      <c r="J80" s="26">
        <v>35202</v>
      </c>
      <c r="K80" s="226">
        <v>35202</v>
      </c>
      <c r="L80" s="67" t="s">
        <v>826</v>
      </c>
      <c r="M80" s="67">
        <v>2005</v>
      </c>
      <c r="N80" s="174" t="s">
        <v>35</v>
      </c>
      <c r="O80" s="10" t="s">
        <v>73</v>
      </c>
      <c r="P80" s="27" t="s">
        <v>74</v>
      </c>
      <c r="Q80" s="53" t="s">
        <v>63</v>
      </c>
      <c r="R80" s="194" t="s">
        <v>89</v>
      </c>
      <c r="S80" s="199" t="s">
        <v>90</v>
      </c>
      <c r="T80" s="148" t="s">
        <v>35</v>
      </c>
      <c r="U80" s="148" t="s">
        <v>35</v>
      </c>
      <c r="V80" s="148" t="s">
        <v>35</v>
      </c>
      <c r="W80" s="54" t="s">
        <v>66</v>
      </c>
      <c r="X80" s="137" t="s">
        <v>112</v>
      </c>
      <c r="Y80" s="10" t="s">
        <v>827</v>
      </c>
      <c r="Z80" s="148" t="s">
        <v>828</v>
      </c>
      <c r="AA80" s="148"/>
      <c r="AB80" s="29"/>
      <c r="AC80" s="29"/>
      <c r="AD80" s="148" t="s">
        <v>2544</v>
      </c>
    </row>
    <row r="81" spans="1:30" ht="63.75">
      <c r="A81" s="166">
        <v>79</v>
      </c>
      <c r="B81" s="166">
        <v>31</v>
      </c>
      <c r="C81" s="69" t="s">
        <v>830</v>
      </c>
      <c r="D81" s="10" t="s">
        <v>2545</v>
      </c>
      <c r="E81" s="10" t="s">
        <v>126</v>
      </c>
      <c r="F81" s="12" t="s">
        <v>127</v>
      </c>
      <c r="G81" s="67" t="s">
        <v>210</v>
      </c>
      <c r="H81" s="11" t="s">
        <v>229</v>
      </c>
      <c r="I81" s="10" t="s">
        <v>832</v>
      </c>
      <c r="J81" s="26">
        <v>151878.45000000001</v>
      </c>
      <c r="K81" s="26">
        <v>151878.45000000001</v>
      </c>
      <c r="L81" s="10" t="s">
        <v>833</v>
      </c>
      <c r="M81" s="67">
        <v>2005</v>
      </c>
      <c r="N81" s="174" t="s">
        <v>35</v>
      </c>
      <c r="O81" s="10" t="s">
        <v>73</v>
      </c>
      <c r="P81" s="27" t="s">
        <v>74</v>
      </c>
      <c r="Q81" s="50" t="s">
        <v>75</v>
      </c>
      <c r="R81" s="190" t="s">
        <v>38</v>
      </c>
      <c r="S81" s="194" t="s">
        <v>53</v>
      </c>
      <c r="T81" s="200" t="s">
        <v>834</v>
      </c>
      <c r="U81" s="195">
        <v>2007</v>
      </c>
      <c r="V81" s="196" t="s">
        <v>77</v>
      </c>
      <c r="W81" s="54" t="s">
        <v>66</v>
      </c>
      <c r="X81" s="137" t="s">
        <v>112</v>
      </c>
      <c r="Y81" s="10" t="s">
        <v>835</v>
      </c>
      <c r="Z81" s="148" t="s">
        <v>836</v>
      </c>
      <c r="AA81" s="148"/>
      <c r="AB81" s="135"/>
      <c r="AC81" s="135">
        <v>1990</v>
      </c>
      <c r="AD81" s="148" t="s">
        <v>2546</v>
      </c>
    </row>
    <row r="82" spans="1:30" ht="120">
      <c r="A82" s="166">
        <v>80</v>
      </c>
      <c r="B82" s="165">
        <v>32</v>
      </c>
      <c r="C82" s="167" t="s">
        <v>838</v>
      </c>
      <c r="D82" s="10" t="s">
        <v>839</v>
      </c>
      <c r="E82" s="219" t="s">
        <v>840</v>
      </c>
      <c r="F82" s="12" t="s">
        <v>49</v>
      </c>
      <c r="G82" s="67" t="s">
        <v>180</v>
      </c>
      <c r="H82" s="11" t="s">
        <v>181</v>
      </c>
      <c r="I82" s="10" t="s">
        <v>182</v>
      </c>
      <c r="J82" s="227">
        <v>1837.55</v>
      </c>
      <c r="K82" s="227">
        <v>1837.55</v>
      </c>
      <c r="L82" s="10" t="s">
        <v>841</v>
      </c>
      <c r="M82" s="67">
        <v>2005</v>
      </c>
      <c r="N82" s="174" t="s">
        <v>35</v>
      </c>
      <c r="O82" s="10" t="s">
        <v>73</v>
      </c>
      <c r="P82" s="27" t="s">
        <v>74</v>
      </c>
      <c r="Q82" s="53" t="s">
        <v>478</v>
      </c>
      <c r="R82" s="198" t="s">
        <v>89</v>
      </c>
      <c r="S82" s="199" t="s">
        <v>90</v>
      </c>
      <c r="T82" s="148" t="s">
        <v>35</v>
      </c>
      <c r="U82" s="148" t="s">
        <v>35</v>
      </c>
      <c r="V82" s="148" t="s">
        <v>35</v>
      </c>
      <c r="W82" s="54" t="s">
        <v>66</v>
      </c>
      <c r="X82" s="137" t="s">
        <v>112</v>
      </c>
      <c r="Y82" s="10" t="s">
        <v>842</v>
      </c>
      <c r="Z82" s="239" t="s">
        <v>843</v>
      </c>
      <c r="AA82" s="239" t="s">
        <v>42</v>
      </c>
      <c r="AB82" s="239" t="s">
        <v>2547</v>
      </c>
      <c r="AC82" s="93" t="s">
        <v>2548</v>
      </c>
      <c r="AD82" s="148" t="s">
        <v>2549</v>
      </c>
    </row>
    <row r="83" spans="1:30" ht="102.75">
      <c r="A83" s="166">
        <v>81</v>
      </c>
      <c r="B83" s="166">
        <v>33</v>
      </c>
      <c r="C83" s="69" t="s">
        <v>1585</v>
      </c>
      <c r="D83" s="10" t="s">
        <v>1586</v>
      </c>
      <c r="E83" s="10" t="s">
        <v>1587</v>
      </c>
      <c r="F83" s="12" t="s">
        <v>127</v>
      </c>
      <c r="G83" s="10" t="s">
        <v>210</v>
      </c>
      <c r="H83" s="11" t="s">
        <v>388</v>
      </c>
      <c r="I83" s="10" t="s">
        <v>212</v>
      </c>
      <c r="J83" s="26">
        <v>19013.439999999999</v>
      </c>
      <c r="K83" s="26">
        <v>19013.439999999999</v>
      </c>
      <c r="L83" s="10" t="s">
        <v>1588</v>
      </c>
      <c r="M83" s="67">
        <v>2014</v>
      </c>
      <c r="N83" s="228" t="s">
        <v>35</v>
      </c>
      <c r="O83" s="10" t="s">
        <v>73</v>
      </c>
      <c r="P83" s="27" t="s">
        <v>74</v>
      </c>
      <c r="Q83" s="53" t="s">
        <v>1589</v>
      </c>
      <c r="R83" s="198" t="s">
        <v>89</v>
      </c>
      <c r="S83" s="198" t="s">
        <v>35</v>
      </c>
      <c r="T83" s="148" t="s">
        <v>35</v>
      </c>
      <c r="U83" s="148" t="s">
        <v>35</v>
      </c>
      <c r="V83" s="148" t="s">
        <v>35</v>
      </c>
      <c r="W83" s="54" t="s">
        <v>66</v>
      </c>
      <c r="X83" s="137" t="s">
        <v>112</v>
      </c>
      <c r="Y83" s="10" t="s">
        <v>1590</v>
      </c>
      <c r="Z83" s="11" t="s">
        <v>1590</v>
      </c>
      <c r="AA83" s="11" t="s">
        <v>42</v>
      </c>
      <c r="AB83" s="135"/>
      <c r="AC83" s="135"/>
      <c r="AD83" s="216" t="s">
        <v>2550</v>
      </c>
    </row>
    <row r="84" spans="1:30" ht="75" hidden="1">
      <c r="A84" s="166">
        <v>82</v>
      </c>
      <c r="B84" s="166">
        <v>6</v>
      </c>
      <c r="C84" s="220" t="s">
        <v>1650</v>
      </c>
      <c r="D84" s="10" t="s">
        <v>1651</v>
      </c>
      <c r="E84" s="10"/>
      <c r="F84" s="53" t="s">
        <v>127</v>
      </c>
      <c r="G84" s="54" t="s">
        <v>188</v>
      </c>
      <c r="H84" s="53" t="s">
        <v>1099</v>
      </c>
      <c r="I84" s="166" t="s">
        <v>190</v>
      </c>
      <c r="J84" s="225">
        <v>7231.66</v>
      </c>
      <c r="K84" s="67">
        <v>7231.66</v>
      </c>
      <c r="L84" s="11" t="s">
        <v>1653</v>
      </c>
      <c r="M84" s="10">
        <v>2016</v>
      </c>
      <c r="N84" s="53">
        <v>2015</v>
      </c>
      <c r="O84" s="11" t="s">
        <v>73</v>
      </c>
      <c r="P84" s="27" t="s">
        <v>74</v>
      </c>
      <c r="Q84" s="148" t="s">
        <v>63</v>
      </c>
      <c r="R84" s="27" t="s">
        <v>89</v>
      </c>
      <c r="S84" s="234" t="s">
        <v>90</v>
      </c>
      <c r="T84" s="53" t="s">
        <v>35</v>
      </c>
      <c r="U84" s="53" t="s">
        <v>35</v>
      </c>
      <c r="V84" s="53" t="s">
        <v>35</v>
      </c>
      <c r="W84" s="65" t="s">
        <v>192</v>
      </c>
      <c r="X84" s="11"/>
      <c r="Y84" s="10"/>
      <c r="Z84" s="53"/>
      <c r="AA84" s="96" t="s">
        <v>2551</v>
      </c>
      <c r="AB84" s="96"/>
      <c r="AC84" s="96" t="s">
        <v>2552</v>
      </c>
      <c r="AD84" s="96" t="s">
        <v>2553</v>
      </c>
    </row>
    <row r="85" spans="1:30">
      <c r="A85" s="221"/>
      <c r="B85" s="221"/>
      <c r="C85" s="222"/>
      <c r="D85" s="132"/>
      <c r="E85" s="132"/>
      <c r="F85" s="223"/>
      <c r="G85" s="224"/>
      <c r="H85" s="223"/>
      <c r="I85" s="221"/>
      <c r="J85" s="229"/>
      <c r="K85" s="230"/>
      <c r="L85" s="231"/>
      <c r="M85" s="132"/>
      <c r="N85" s="223"/>
      <c r="O85" s="231"/>
      <c r="P85" s="232"/>
      <c r="Q85" s="235"/>
      <c r="R85" s="232"/>
      <c r="S85" s="236"/>
      <c r="T85" s="223"/>
      <c r="U85" s="223"/>
      <c r="V85" s="223"/>
      <c r="W85" s="237"/>
      <c r="X85" s="231"/>
      <c r="Y85" s="132"/>
      <c r="Z85" s="223"/>
      <c r="AA85" s="223"/>
      <c r="AB85" s="143"/>
      <c r="AC85" s="143"/>
    </row>
    <row r="86" spans="1:30">
      <c r="A86" s="221"/>
      <c r="B86" s="221"/>
      <c r="C86" s="222"/>
      <c r="D86" s="132"/>
      <c r="E86" s="132"/>
      <c r="F86" s="223"/>
      <c r="G86" s="224"/>
      <c r="H86" s="223"/>
      <c r="I86" s="221"/>
      <c r="J86" s="229"/>
      <c r="K86" s="230"/>
      <c r="L86" s="231"/>
      <c r="M86" s="132"/>
      <c r="N86" s="223"/>
      <c r="O86" s="231"/>
      <c r="P86" s="232"/>
      <c r="Q86" s="235"/>
      <c r="R86" s="232"/>
      <c r="S86" s="236"/>
      <c r="T86" s="223"/>
      <c r="U86" s="223"/>
      <c r="V86" s="223"/>
      <c r="W86" s="237"/>
      <c r="X86" s="231"/>
      <c r="Y86" s="132"/>
      <c r="Z86" s="223"/>
      <c r="AA86" s="223"/>
      <c r="AB86" s="143"/>
      <c r="AC86" s="143"/>
    </row>
  </sheetData>
  <autoFilter ref="A2:Z84" xr:uid="{00000000-0009-0000-0000-000018000000}">
    <filterColumn colId="22">
      <filters>
        <filter val="si"/>
      </filters>
    </filterColumn>
  </autoFilter>
  <mergeCells count="1">
    <mergeCell ref="A1:AD1"/>
  </mergeCells>
  <printOptions horizontalCentered="1" verticalCentered="1"/>
  <pageMargins left="0.70763888888888904" right="0.70763888888888904" top="0.74791666666666701" bottom="0.74791666666666701" header="0.31388888888888899" footer="0.31388888888888899"/>
  <pageSetup scale="50" orientation="landscape"/>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A1:AD11"/>
  <sheetViews>
    <sheetView topLeftCell="A7" workbookViewId="0">
      <selection activeCell="AD10" sqref="AD10"/>
    </sheetView>
  </sheetViews>
  <sheetFormatPr baseColWidth="10" defaultColWidth="9" defaultRowHeight="15"/>
  <cols>
    <col min="6" max="9" width="9" hidden="1" customWidth="1"/>
    <col min="11" max="26" width="9" hidden="1" customWidth="1"/>
    <col min="29" max="29" width="26.85546875" customWidth="1"/>
    <col min="30" max="30" width="18.28515625" customWidth="1"/>
  </cols>
  <sheetData>
    <row r="1" spans="1:30" ht="26.25">
      <c r="A1" s="1203" t="s">
        <v>2554</v>
      </c>
      <c r="B1" s="1203"/>
      <c r="C1" s="1203"/>
      <c r="D1" s="1203"/>
      <c r="E1" s="1203"/>
      <c r="F1" s="1203"/>
      <c r="G1" s="1203"/>
      <c r="H1" s="1203"/>
      <c r="I1" s="1203"/>
      <c r="J1" s="1203"/>
      <c r="K1" s="1203"/>
      <c r="L1" s="1203"/>
      <c r="M1" s="1203"/>
      <c r="N1" s="1203"/>
      <c r="O1" s="1203"/>
      <c r="P1" s="1203"/>
      <c r="Q1" s="1203"/>
      <c r="R1" s="1203"/>
      <c r="S1" s="1203"/>
      <c r="T1" s="1203"/>
      <c r="U1" s="1203"/>
      <c r="V1" s="1203"/>
      <c r="W1" s="1203"/>
      <c r="X1" s="1203"/>
      <c r="Y1" s="1203"/>
      <c r="Z1" s="1203"/>
      <c r="AA1" s="1203"/>
      <c r="AB1" s="1203"/>
      <c r="AC1" s="1203"/>
      <c r="AD1" s="1203"/>
    </row>
    <row r="2" spans="1:30" ht="60">
      <c r="A2" s="150" t="s">
        <v>2510</v>
      </c>
      <c r="B2" s="150" t="s">
        <v>2511</v>
      </c>
      <c r="C2" s="150" t="s">
        <v>2512</v>
      </c>
      <c r="D2" s="150" t="s">
        <v>2</v>
      </c>
      <c r="E2" s="150" t="s">
        <v>3</v>
      </c>
      <c r="F2" s="151" t="s">
        <v>4</v>
      </c>
      <c r="G2" s="151" t="s">
        <v>5</v>
      </c>
      <c r="H2" s="151" t="s">
        <v>6</v>
      </c>
      <c r="I2" s="151" t="s">
        <v>7</v>
      </c>
      <c r="J2" s="150" t="s">
        <v>8</v>
      </c>
      <c r="K2" s="150" t="s">
        <v>9</v>
      </c>
      <c r="L2" s="150" t="s">
        <v>11</v>
      </c>
      <c r="M2" s="150" t="s">
        <v>12</v>
      </c>
      <c r="N2" s="152" t="s">
        <v>13</v>
      </c>
      <c r="O2" s="150" t="s">
        <v>14</v>
      </c>
      <c r="P2" s="151" t="s">
        <v>15</v>
      </c>
      <c r="Q2" s="153" t="s">
        <v>16</v>
      </c>
      <c r="R2" s="154" t="s">
        <v>17</v>
      </c>
      <c r="S2" s="151" t="s">
        <v>18</v>
      </c>
      <c r="T2" s="155" t="s">
        <v>19</v>
      </c>
      <c r="U2" s="155" t="s">
        <v>20</v>
      </c>
      <c r="V2" s="151" t="s">
        <v>21</v>
      </c>
      <c r="W2" s="156" t="s">
        <v>22</v>
      </c>
      <c r="X2" s="157" t="s">
        <v>23</v>
      </c>
      <c r="Y2" s="158" t="s">
        <v>25</v>
      </c>
      <c r="Z2" s="159" t="s">
        <v>26</v>
      </c>
      <c r="AA2" s="160" t="s">
        <v>2513</v>
      </c>
      <c r="AB2" s="160" t="s">
        <v>2248</v>
      </c>
      <c r="AC2" s="160" t="s">
        <v>2514</v>
      </c>
      <c r="AD2" s="160" t="s">
        <v>2515</v>
      </c>
    </row>
    <row r="3" spans="1:30" ht="120">
      <c r="A3" s="29"/>
      <c r="B3" s="135">
        <v>1</v>
      </c>
      <c r="C3" s="135" t="s">
        <v>2555</v>
      </c>
      <c r="D3" s="10" t="s">
        <v>2556</v>
      </c>
      <c r="E3" s="10" t="s">
        <v>2192</v>
      </c>
      <c r="F3" s="29"/>
      <c r="G3" s="29"/>
      <c r="H3" s="29"/>
      <c r="I3" s="29"/>
      <c r="J3" s="29"/>
      <c r="K3" s="29"/>
      <c r="L3" s="29"/>
      <c r="M3" s="29"/>
      <c r="N3" s="29"/>
      <c r="O3" s="29"/>
      <c r="P3" s="29"/>
      <c r="Q3" s="29"/>
      <c r="R3" s="29"/>
      <c r="S3" s="29"/>
      <c r="T3" s="29"/>
      <c r="U3" s="29"/>
      <c r="V3" s="29"/>
      <c r="W3" s="29"/>
      <c r="X3" s="29"/>
      <c r="Y3" s="29"/>
      <c r="Z3" s="29"/>
      <c r="AA3" s="149">
        <v>41154</v>
      </c>
      <c r="AB3" s="93">
        <v>2012</v>
      </c>
      <c r="AC3" s="93" t="s">
        <v>2557</v>
      </c>
      <c r="AD3" s="148" t="s">
        <v>2558</v>
      </c>
    </row>
    <row r="4" spans="1:30" ht="105">
      <c r="A4" s="29"/>
      <c r="B4" s="135">
        <v>2</v>
      </c>
      <c r="C4" s="93" t="s">
        <v>2559</v>
      </c>
      <c r="D4" s="10" t="s">
        <v>2194</v>
      </c>
      <c r="E4" s="10" t="s">
        <v>2192</v>
      </c>
      <c r="F4" s="29"/>
      <c r="G4" s="29"/>
      <c r="H4" s="29"/>
      <c r="I4" s="29"/>
      <c r="J4" s="29"/>
      <c r="K4" s="29"/>
      <c r="L4" s="29"/>
      <c r="M4" s="29"/>
      <c r="N4" s="29"/>
      <c r="O4" s="29"/>
      <c r="P4" s="29"/>
      <c r="Q4" s="29"/>
      <c r="R4" s="29"/>
      <c r="S4" s="29"/>
      <c r="T4" s="29"/>
      <c r="U4" s="29"/>
      <c r="V4" s="29"/>
      <c r="W4" s="29"/>
      <c r="X4" s="29"/>
      <c r="Y4" s="29"/>
      <c r="Z4" s="29"/>
      <c r="AA4" s="29"/>
      <c r="AB4" s="96"/>
      <c r="AC4" s="161" t="s">
        <v>2560</v>
      </c>
      <c r="AD4" s="148" t="s">
        <v>2561</v>
      </c>
    </row>
    <row r="5" spans="1:30" ht="75">
      <c r="A5" s="29"/>
      <c r="B5" s="135">
        <v>3</v>
      </c>
      <c r="C5" s="135" t="s">
        <v>2562</v>
      </c>
      <c r="D5" s="10" t="s">
        <v>2444</v>
      </c>
      <c r="E5" s="10" t="s">
        <v>2192</v>
      </c>
      <c r="F5" s="29"/>
      <c r="G5" s="29"/>
      <c r="H5" s="29"/>
      <c r="I5" s="29"/>
      <c r="J5" s="29"/>
      <c r="K5" s="29"/>
      <c r="L5" s="29"/>
      <c r="M5" s="29"/>
      <c r="N5" s="29"/>
      <c r="O5" s="29"/>
      <c r="P5" s="29"/>
      <c r="Q5" s="29"/>
      <c r="R5" s="29"/>
      <c r="S5" s="29"/>
      <c r="T5" s="29"/>
      <c r="U5" s="29"/>
      <c r="V5" s="29"/>
      <c r="W5" s="29"/>
      <c r="X5" s="29"/>
      <c r="Y5" s="29"/>
      <c r="Z5" s="29"/>
      <c r="AA5" s="161" t="s">
        <v>2563</v>
      </c>
      <c r="AB5" s="96"/>
      <c r="AC5" s="161" t="s">
        <v>2564</v>
      </c>
      <c r="AD5" s="148" t="s">
        <v>2565</v>
      </c>
    </row>
    <row r="6" spans="1:30" ht="165">
      <c r="A6" s="29"/>
      <c r="B6" s="135">
        <v>4</v>
      </c>
      <c r="C6" s="135">
        <v>8936</v>
      </c>
      <c r="D6" s="10" t="s">
        <v>2566</v>
      </c>
      <c r="E6" s="10" t="s">
        <v>2192</v>
      </c>
      <c r="F6" s="29"/>
      <c r="G6" s="29"/>
      <c r="H6" s="29"/>
      <c r="I6" s="29"/>
      <c r="J6" s="29"/>
      <c r="K6" s="29"/>
      <c r="L6" s="29"/>
      <c r="M6" s="29"/>
      <c r="N6" s="29"/>
      <c r="O6" s="29"/>
      <c r="P6" s="29"/>
      <c r="Q6" s="29"/>
      <c r="R6" s="29"/>
      <c r="S6" s="29"/>
      <c r="T6" s="29"/>
      <c r="U6" s="29"/>
      <c r="V6" s="29"/>
      <c r="W6" s="29"/>
      <c r="X6" s="29"/>
      <c r="Y6" s="29"/>
      <c r="Z6" s="29"/>
      <c r="AA6" s="29"/>
      <c r="AB6" s="96"/>
      <c r="AC6" s="161" t="s">
        <v>2567</v>
      </c>
      <c r="AD6" s="148" t="s">
        <v>2568</v>
      </c>
    </row>
    <row r="7" spans="1:30" ht="89.25">
      <c r="A7" s="29"/>
      <c r="B7" s="135">
        <v>5</v>
      </c>
      <c r="C7" s="29"/>
      <c r="D7" s="10" t="s">
        <v>2569</v>
      </c>
      <c r="E7" s="10" t="s">
        <v>2192</v>
      </c>
      <c r="F7" s="29"/>
      <c r="G7" s="29"/>
      <c r="H7" s="29"/>
      <c r="I7" s="29"/>
      <c r="J7" s="29"/>
      <c r="K7" s="29"/>
      <c r="L7" s="29"/>
      <c r="M7" s="29"/>
      <c r="N7" s="29"/>
      <c r="O7" s="29"/>
      <c r="P7" s="29"/>
      <c r="Q7" s="29"/>
      <c r="R7" s="29"/>
      <c r="S7" s="29"/>
      <c r="T7" s="29"/>
      <c r="U7" s="29"/>
      <c r="V7" s="29"/>
      <c r="W7" s="29"/>
      <c r="X7" s="29"/>
      <c r="Y7" s="29"/>
      <c r="Z7" s="29"/>
      <c r="AA7" s="29"/>
      <c r="AB7" s="96"/>
      <c r="AC7" s="93" t="s">
        <v>2570</v>
      </c>
      <c r="AD7" s="148" t="s">
        <v>2571</v>
      </c>
    </row>
    <row r="8" spans="1:30" ht="38.25">
      <c r="A8" s="29"/>
      <c r="B8" s="135">
        <v>6</v>
      </c>
      <c r="C8" s="29"/>
      <c r="D8" s="10" t="s">
        <v>2572</v>
      </c>
      <c r="E8" s="10" t="s">
        <v>2192</v>
      </c>
      <c r="F8" s="29"/>
      <c r="G8" s="29"/>
      <c r="H8" s="29"/>
      <c r="I8" s="29"/>
      <c r="J8" s="29"/>
      <c r="K8" s="29"/>
      <c r="L8" s="29"/>
      <c r="M8" s="29"/>
      <c r="N8" s="29"/>
      <c r="O8" s="29"/>
      <c r="P8" s="29"/>
      <c r="Q8" s="29"/>
      <c r="R8" s="29"/>
      <c r="S8" s="29"/>
      <c r="T8" s="29"/>
      <c r="U8" s="29"/>
      <c r="V8" s="29"/>
      <c r="W8" s="29"/>
      <c r="X8" s="29"/>
      <c r="Y8" s="29"/>
      <c r="Z8" s="29"/>
      <c r="AA8" s="29"/>
      <c r="AB8" s="96"/>
      <c r="AC8" s="93" t="s">
        <v>2573</v>
      </c>
      <c r="AD8" s="148" t="s">
        <v>2574</v>
      </c>
    </row>
    <row r="9" spans="1:30" ht="45">
      <c r="A9" s="29"/>
      <c r="B9" s="135">
        <v>7</v>
      </c>
      <c r="C9" s="29"/>
      <c r="D9" s="10" t="s">
        <v>2426</v>
      </c>
      <c r="E9" s="10" t="s">
        <v>2192</v>
      </c>
      <c r="F9" s="29"/>
      <c r="G9" s="29"/>
      <c r="H9" s="29"/>
      <c r="I9" s="29"/>
      <c r="J9" s="29"/>
      <c r="K9" s="29"/>
      <c r="L9" s="29"/>
      <c r="M9" s="29"/>
      <c r="N9" s="29"/>
      <c r="O9" s="29"/>
      <c r="P9" s="29"/>
      <c r="Q9" s="29"/>
      <c r="R9" s="29"/>
      <c r="S9" s="29"/>
      <c r="T9" s="29"/>
      <c r="U9" s="29"/>
      <c r="V9" s="29"/>
      <c r="W9" s="29"/>
      <c r="X9" s="29"/>
      <c r="Y9" s="29"/>
      <c r="Z9" s="29"/>
      <c r="AA9" s="29"/>
      <c r="AB9" s="96"/>
      <c r="AC9" s="93" t="s">
        <v>2570</v>
      </c>
      <c r="AD9" s="148" t="s">
        <v>2575</v>
      </c>
    </row>
    <row r="10" spans="1:30" ht="45">
      <c r="A10" s="29"/>
      <c r="B10" s="135">
        <v>8</v>
      </c>
      <c r="C10" s="29"/>
      <c r="D10" s="10" t="s">
        <v>2576</v>
      </c>
      <c r="E10" s="10" t="s">
        <v>2192</v>
      </c>
      <c r="F10" s="29"/>
      <c r="G10" s="29"/>
      <c r="H10" s="29"/>
      <c r="I10" s="29"/>
      <c r="J10" s="29"/>
      <c r="K10" s="29"/>
      <c r="L10" s="29"/>
      <c r="M10" s="29"/>
      <c r="N10" s="29"/>
      <c r="O10" s="29"/>
      <c r="P10" s="29"/>
      <c r="Q10" s="29"/>
      <c r="R10" s="29"/>
      <c r="S10" s="29"/>
      <c r="T10" s="29"/>
      <c r="U10" s="29"/>
      <c r="V10" s="29"/>
      <c r="W10" s="29"/>
      <c r="X10" s="29"/>
      <c r="Y10" s="29"/>
      <c r="Z10" s="29"/>
      <c r="AA10" s="29"/>
      <c r="AB10" s="96"/>
      <c r="AC10" s="93"/>
      <c r="AD10" s="93" t="s">
        <v>2527</v>
      </c>
    </row>
    <row r="11" spans="1:30">
      <c r="D11" s="132"/>
      <c r="E11" s="132"/>
      <c r="AB11" s="143"/>
      <c r="AC11" s="143"/>
      <c r="AD11" s="144"/>
    </row>
  </sheetData>
  <mergeCells count="1">
    <mergeCell ref="A1:AD1"/>
  </mergeCells>
  <pageMargins left="0.69930555555555596" right="0.69930555555555596"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AD11"/>
  <sheetViews>
    <sheetView workbookViewId="0">
      <selection activeCell="AE5" sqref="AE5"/>
    </sheetView>
  </sheetViews>
  <sheetFormatPr baseColWidth="10" defaultColWidth="9" defaultRowHeight="15"/>
  <cols>
    <col min="3" max="3" width="12.7109375" customWidth="1"/>
    <col min="6" max="9" width="9" hidden="1" customWidth="1"/>
    <col min="11" max="26" width="9" hidden="1" customWidth="1"/>
    <col min="29" max="29" width="13.42578125" customWidth="1"/>
    <col min="30" max="30" width="18.42578125" customWidth="1"/>
  </cols>
  <sheetData>
    <row r="1" spans="1:30">
      <c r="D1" s="132"/>
      <c r="E1" s="132"/>
      <c r="AB1" s="143"/>
      <c r="AC1" s="143"/>
      <c r="AD1" s="144"/>
    </row>
    <row r="2" spans="1:30" ht="26.25">
      <c r="A2" s="1203" t="s">
        <v>2577</v>
      </c>
      <c r="B2" s="1203"/>
      <c r="C2" s="1203"/>
      <c r="D2" s="1203"/>
      <c r="E2" s="1203"/>
      <c r="F2" s="1203"/>
      <c r="G2" s="1203"/>
      <c r="H2" s="1203"/>
      <c r="I2" s="1203"/>
      <c r="J2" s="1203"/>
      <c r="K2" s="1203"/>
      <c r="L2" s="1203"/>
      <c r="M2" s="1203"/>
      <c r="N2" s="1203"/>
      <c r="O2" s="1203"/>
      <c r="P2" s="1203"/>
      <c r="Q2" s="1203"/>
      <c r="R2" s="1203"/>
      <c r="S2" s="1203"/>
      <c r="T2" s="1203"/>
      <c r="U2" s="1203"/>
      <c r="V2" s="1203"/>
      <c r="W2" s="1203"/>
      <c r="X2" s="1203"/>
      <c r="Y2" s="1203"/>
      <c r="Z2" s="1203"/>
      <c r="AA2" s="1203"/>
      <c r="AB2" s="1203"/>
      <c r="AC2" s="1203"/>
      <c r="AD2" s="1203"/>
    </row>
    <row r="3" spans="1:30" ht="60">
      <c r="A3" s="133" t="s">
        <v>2510</v>
      </c>
      <c r="B3" s="133" t="s">
        <v>2511</v>
      </c>
      <c r="C3" s="133" t="s">
        <v>2512</v>
      </c>
      <c r="D3" s="133" t="s">
        <v>2</v>
      </c>
      <c r="E3" s="133" t="s">
        <v>3</v>
      </c>
      <c r="F3" s="134" t="s">
        <v>4</v>
      </c>
      <c r="G3" s="134" t="s">
        <v>5</v>
      </c>
      <c r="H3" s="134" t="s">
        <v>6</v>
      </c>
      <c r="I3" s="134" t="s">
        <v>7</v>
      </c>
      <c r="J3" s="133" t="s">
        <v>8</v>
      </c>
      <c r="K3" s="133" t="s">
        <v>9</v>
      </c>
      <c r="L3" s="133" t="s">
        <v>11</v>
      </c>
      <c r="M3" s="133" t="s">
        <v>12</v>
      </c>
      <c r="N3" s="138" t="s">
        <v>13</v>
      </c>
      <c r="O3" s="133" t="s">
        <v>14</v>
      </c>
      <c r="P3" s="134" t="s">
        <v>15</v>
      </c>
      <c r="Q3" s="139" t="s">
        <v>16</v>
      </c>
      <c r="R3" s="140" t="s">
        <v>17</v>
      </c>
      <c r="S3" s="134" t="s">
        <v>18</v>
      </c>
      <c r="T3" s="141" t="s">
        <v>19</v>
      </c>
      <c r="U3" s="141" t="s">
        <v>20</v>
      </c>
      <c r="V3" s="134" t="s">
        <v>21</v>
      </c>
      <c r="W3" s="142" t="s">
        <v>22</v>
      </c>
      <c r="X3" s="138" t="s">
        <v>23</v>
      </c>
      <c r="Y3" s="145" t="s">
        <v>25</v>
      </c>
      <c r="Z3" s="146" t="s">
        <v>26</v>
      </c>
      <c r="AA3" s="147" t="s">
        <v>2513</v>
      </c>
      <c r="AB3" s="147" t="s">
        <v>2248</v>
      </c>
      <c r="AC3" s="147" t="s">
        <v>2514</v>
      </c>
      <c r="AD3" s="147" t="s">
        <v>2515</v>
      </c>
    </row>
    <row r="4" spans="1:30" ht="48">
      <c r="A4" s="29"/>
      <c r="B4" s="135">
        <v>1</v>
      </c>
      <c r="C4" s="135" t="s">
        <v>2578</v>
      </c>
      <c r="D4" s="10" t="s">
        <v>2579</v>
      </c>
      <c r="E4" s="136" t="s">
        <v>2580</v>
      </c>
      <c r="F4" s="29"/>
      <c r="G4" s="29"/>
      <c r="H4" s="29"/>
      <c r="I4" s="29"/>
      <c r="J4" s="29"/>
      <c r="K4" s="29"/>
      <c r="L4" s="29"/>
      <c r="M4" s="29"/>
      <c r="N4" s="29"/>
      <c r="O4" s="29"/>
      <c r="P4" s="29"/>
      <c r="Q4" s="29"/>
      <c r="R4" s="29"/>
      <c r="S4" s="29"/>
      <c r="T4" s="29"/>
      <c r="U4" s="29"/>
      <c r="V4" s="29"/>
      <c r="W4" s="29"/>
      <c r="X4" s="29"/>
      <c r="Y4" s="29"/>
      <c r="Z4" s="29"/>
      <c r="AA4" s="29"/>
      <c r="AB4" s="96"/>
      <c r="AC4" s="93" t="s">
        <v>2581</v>
      </c>
      <c r="AD4" s="148" t="s">
        <v>2582</v>
      </c>
    </row>
    <row r="5" spans="1:30" ht="90">
      <c r="A5" s="29"/>
      <c r="B5" s="135">
        <v>2</v>
      </c>
      <c r="C5" s="93" t="s">
        <v>2583</v>
      </c>
      <c r="D5" s="10" t="s">
        <v>2584</v>
      </c>
      <c r="E5" s="137" t="s">
        <v>2580</v>
      </c>
      <c r="F5" s="29"/>
      <c r="G5" s="29"/>
      <c r="H5" s="29"/>
      <c r="I5" s="29"/>
      <c r="J5" s="29"/>
      <c r="K5" s="29"/>
      <c r="L5" s="29"/>
      <c r="M5" s="29"/>
      <c r="N5" s="29"/>
      <c r="O5" s="29"/>
      <c r="P5" s="29"/>
      <c r="Q5" s="29"/>
      <c r="R5" s="29"/>
      <c r="S5" s="29"/>
      <c r="T5" s="29"/>
      <c r="U5" s="29"/>
      <c r="V5" s="29"/>
      <c r="W5" s="29"/>
      <c r="X5" s="29"/>
      <c r="Y5" s="29"/>
      <c r="Z5" s="29"/>
      <c r="AA5" s="149" t="s">
        <v>2585</v>
      </c>
      <c r="AB5" s="93">
        <v>2005</v>
      </c>
      <c r="AC5" s="93" t="s">
        <v>2586</v>
      </c>
      <c r="AD5" s="148" t="s">
        <v>2587</v>
      </c>
    </row>
    <row r="6" spans="1:30" ht="135">
      <c r="A6" s="29"/>
      <c r="B6" s="135">
        <v>3</v>
      </c>
      <c r="C6" s="135" t="s">
        <v>2588</v>
      </c>
      <c r="D6" s="10" t="s">
        <v>2589</v>
      </c>
      <c r="E6" s="137" t="s">
        <v>2580</v>
      </c>
      <c r="F6" s="29"/>
      <c r="G6" s="29"/>
      <c r="H6" s="29"/>
      <c r="I6" s="29"/>
      <c r="J6" s="29"/>
      <c r="K6" s="29"/>
      <c r="L6" s="29"/>
      <c r="M6" s="29"/>
      <c r="N6" s="29"/>
      <c r="O6" s="29"/>
      <c r="P6" s="29"/>
      <c r="Q6" s="29"/>
      <c r="R6" s="29"/>
      <c r="S6" s="29"/>
      <c r="T6" s="29"/>
      <c r="U6" s="29"/>
      <c r="V6" s="29"/>
      <c r="W6" s="29"/>
      <c r="X6" s="29"/>
      <c r="Y6" s="29"/>
      <c r="Z6" s="29"/>
      <c r="AA6" s="29"/>
      <c r="AB6" s="96"/>
      <c r="AC6" s="93" t="s">
        <v>2590</v>
      </c>
      <c r="AD6" s="148" t="s">
        <v>2591</v>
      </c>
    </row>
    <row r="7" spans="1:30" ht="45">
      <c r="A7" s="29"/>
      <c r="B7" s="135">
        <v>4</v>
      </c>
      <c r="C7" s="29"/>
      <c r="D7" s="10" t="s">
        <v>2592</v>
      </c>
      <c r="E7" s="10" t="s">
        <v>2580</v>
      </c>
      <c r="F7" s="29"/>
      <c r="G7" s="29"/>
      <c r="H7" s="29"/>
      <c r="I7" s="29"/>
      <c r="J7" s="29"/>
      <c r="K7" s="29"/>
      <c r="L7" s="29"/>
      <c r="M7" s="29"/>
      <c r="N7" s="29"/>
      <c r="O7" s="29"/>
      <c r="P7" s="29"/>
      <c r="Q7" s="29"/>
      <c r="R7" s="29"/>
      <c r="S7" s="29"/>
      <c r="T7" s="29"/>
      <c r="U7" s="29"/>
      <c r="V7" s="29"/>
      <c r="W7" s="29"/>
      <c r="X7" s="29"/>
      <c r="Y7" s="29"/>
      <c r="Z7" s="29"/>
      <c r="AA7" s="29"/>
      <c r="AB7" s="96"/>
      <c r="AC7" s="93"/>
      <c r="AD7" s="93" t="s">
        <v>2527</v>
      </c>
    </row>
    <row r="8" spans="1:30" ht="45">
      <c r="A8" s="29"/>
      <c r="B8" s="135">
        <v>5</v>
      </c>
      <c r="C8" s="29"/>
      <c r="D8" s="10" t="s">
        <v>234</v>
      </c>
      <c r="E8" s="10" t="s">
        <v>2580</v>
      </c>
      <c r="F8" s="29"/>
      <c r="G8" s="29"/>
      <c r="H8" s="29"/>
      <c r="I8" s="29"/>
      <c r="J8" s="29"/>
      <c r="K8" s="29"/>
      <c r="L8" s="29"/>
      <c r="M8" s="29"/>
      <c r="N8" s="29"/>
      <c r="O8" s="29"/>
      <c r="P8" s="29"/>
      <c r="Q8" s="29"/>
      <c r="R8" s="29"/>
      <c r="S8" s="29"/>
      <c r="T8" s="29"/>
      <c r="U8" s="29"/>
      <c r="V8" s="29"/>
      <c r="W8" s="29"/>
      <c r="X8" s="29"/>
      <c r="Y8" s="29"/>
      <c r="Z8" s="29"/>
      <c r="AA8" s="29"/>
      <c r="AB8" s="96"/>
      <c r="AC8" s="93"/>
      <c r="AD8" s="93" t="s">
        <v>2527</v>
      </c>
    </row>
    <row r="9" spans="1:30" ht="45">
      <c r="A9" s="29"/>
      <c r="B9" s="135">
        <v>6</v>
      </c>
      <c r="C9" s="29"/>
      <c r="D9" s="10" t="s">
        <v>2593</v>
      </c>
      <c r="E9" s="10" t="s">
        <v>2580</v>
      </c>
      <c r="F9" s="29"/>
      <c r="G9" s="29"/>
      <c r="H9" s="29"/>
      <c r="I9" s="29"/>
      <c r="J9" s="29"/>
      <c r="K9" s="29"/>
      <c r="L9" s="29"/>
      <c r="M9" s="29"/>
      <c r="N9" s="29"/>
      <c r="O9" s="29"/>
      <c r="P9" s="29"/>
      <c r="Q9" s="29"/>
      <c r="R9" s="29"/>
      <c r="S9" s="29"/>
      <c r="T9" s="29"/>
      <c r="U9" s="29"/>
      <c r="V9" s="29"/>
      <c r="W9" s="29"/>
      <c r="X9" s="29"/>
      <c r="Y9" s="29"/>
      <c r="Z9" s="29"/>
      <c r="AA9" s="29"/>
      <c r="AB9" s="96"/>
      <c r="AC9" s="93"/>
      <c r="AD9" s="93" t="s">
        <v>2527</v>
      </c>
    </row>
    <row r="10" spans="1:30" ht="45">
      <c r="A10" s="29"/>
      <c r="B10" s="135">
        <v>7</v>
      </c>
      <c r="C10" s="29"/>
      <c r="D10" s="10" t="s">
        <v>2594</v>
      </c>
      <c r="E10" s="10" t="s">
        <v>2580</v>
      </c>
      <c r="F10" s="29"/>
      <c r="G10" s="29"/>
      <c r="H10" s="29"/>
      <c r="I10" s="29"/>
      <c r="J10" s="29"/>
      <c r="K10" s="29"/>
      <c r="L10" s="29"/>
      <c r="M10" s="29"/>
      <c r="N10" s="29"/>
      <c r="O10" s="29"/>
      <c r="P10" s="29"/>
      <c r="Q10" s="29"/>
      <c r="R10" s="29"/>
      <c r="S10" s="29"/>
      <c r="T10" s="29"/>
      <c r="U10" s="29"/>
      <c r="V10" s="29"/>
      <c r="W10" s="29"/>
      <c r="X10" s="29"/>
      <c r="Y10" s="29"/>
      <c r="Z10" s="29"/>
      <c r="AA10" s="29"/>
      <c r="AB10" s="96"/>
      <c r="AC10" s="93"/>
      <c r="AD10" s="93" t="s">
        <v>2527</v>
      </c>
    </row>
    <row r="11" spans="1:30" ht="45">
      <c r="A11" s="29"/>
      <c r="B11" s="135">
        <v>8</v>
      </c>
      <c r="C11" s="29"/>
      <c r="D11" s="10" t="s">
        <v>2595</v>
      </c>
      <c r="E11" s="10" t="s">
        <v>2580</v>
      </c>
      <c r="F11" s="29"/>
      <c r="G11" s="29"/>
      <c r="H11" s="29"/>
      <c r="I11" s="29"/>
      <c r="J11" s="29"/>
      <c r="K11" s="29"/>
      <c r="L11" s="29"/>
      <c r="M11" s="29"/>
      <c r="N11" s="29"/>
      <c r="O11" s="29"/>
      <c r="P11" s="29"/>
      <c r="Q11" s="29"/>
      <c r="R11" s="29"/>
      <c r="S11" s="29"/>
      <c r="T11" s="29"/>
      <c r="U11" s="29"/>
      <c r="V11" s="29"/>
      <c r="W11" s="29"/>
      <c r="X11" s="29"/>
      <c r="Y11" s="29"/>
      <c r="Z11" s="29"/>
      <c r="AA11" s="29"/>
      <c r="AB11" s="96"/>
      <c r="AC11" s="93"/>
      <c r="AD11" s="93" t="s">
        <v>2527</v>
      </c>
    </row>
  </sheetData>
  <mergeCells count="1">
    <mergeCell ref="A2:AD2"/>
  </mergeCells>
  <pageMargins left="0.69930555555555596" right="0.69930555555555596"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H42"/>
  <sheetViews>
    <sheetView zoomScale="70" zoomScaleNormal="70" workbookViewId="0">
      <pane xSplit="5" ySplit="6" topLeftCell="F7" activePane="bottomRight" state="frozen"/>
      <selection pane="topRight"/>
      <selection pane="bottomLeft"/>
      <selection pane="bottomRight" activeCell="J6" sqref="J6"/>
    </sheetView>
  </sheetViews>
  <sheetFormatPr baseColWidth="10" defaultColWidth="9" defaultRowHeight="15"/>
  <cols>
    <col min="1" max="1" width="4.5703125" customWidth="1"/>
    <col min="2" max="2" width="22.85546875" customWidth="1"/>
    <col min="3" max="3" width="37.5703125" customWidth="1"/>
    <col min="4" max="4" width="11.140625" customWidth="1"/>
    <col min="5" max="5" width="17.28515625" customWidth="1"/>
    <col min="6" max="6" width="14.5703125" customWidth="1"/>
    <col min="7" max="7" width="18.140625" customWidth="1"/>
    <col min="8" max="8" width="15" customWidth="1"/>
  </cols>
  <sheetData>
    <row r="1" spans="1:8">
      <c r="A1" s="1204" t="s">
        <v>2596</v>
      </c>
      <c r="B1" s="1204"/>
      <c r="C1" s="1204"/>
      <c r="D1" s="1204"/>
      <c r="E1" s="1204"/>
      <c r="F1" s="1204"/>
      <c r="G1" s="1204"/>
      <c r="H1" s="1204"/>
    </row>
    <row r="2" spans="1:8">
      <c r="A2" s="74"/>
      <c r="B2" s="74"/>
      <c r="C2" s="74"/>
      <c r="D2" s="74"/>
      <c r="E2" s="74"/>
      <c r="F2" s="74"/>
      <c r="G2" s="74"/>
      <c r="H2" s="74"/>
    </row>
    <row r="3" spans="1:8" ht="48" customHeight="1">
      <c r="A3" s="75" t="s">
        <v>0</v>
      </c>
      <c r="B3" s="76" t="s">
        <v>2597</v>
      </c>
      <c r="C3" s="76" t="s">
        <v>2598</v>
      </c>
      <c r="D3" s="77" t="s">
        <v>2599</v>
      </c>
      <c r="E3" s="76" t="s">
        <v>2600</v>
      </c>
      <c r="F3" s="76" t="s">
        <v>2315</v>
      </c>
      <c r="G3" s="76" t="s">
        <v>2601</v>
      </c>
      <c r="H3" s="78" t="s">
        <v>2602</v>
      </c>
    </row>
    <row r="4" spans="1:8" ht="75">
      <c r="A4" s="79">
        <v>1</v>
      </c>
      <c r="B4" s="80" t="s">
        <v>2603</v>
      </c>
      <c r="C4" s="81" t="s">
        <v>2604</v>
      </c>
      <c r="D4" s="82" t="s">
        <v>2605</v>
      </c>
      <c r="E4" s="81" t="s">
        <v>2606</v>
      </c>
      <c r="F4" s="83">
        <v>42556</v>
      </c>
      <c r="G4" s="83" t="s">
        <v>2607</v>
      </c>
      <c r="H4" s="84" t="s">
        <v>2608</v>
      </c>
    </row>
    <row r="5" spans="1:8" ht="75">
      <c r="A5" s="85">
        <v>2</v>
      </c>
      <c r="B5" s="86" t="s">
        <v>2609</v>
      </c>
      <c r="C5" s="87" t="s">
        <v>2610</v>
      </c>
      <c r="D5" s="88" t="s">
        <v>2605</v>
      </c>
      <c r="E5" s="88" t="s">
        <v>2606</v>
      </c>
      <c r="F5" s="89">
        <v>42556</v>
      </c>
      <c r="G5" s="86" t="s">
        <v>2607</v>
      </c>
      <c r="H5" s="90" t="s">
        <v>2608</v>
      </c>
    </row>
    <row r="6" spans="1:8" ht="75">
      <c r="A6" s="85">
        <v>3</v>
      </c>
      <c r="B6" s="86" t="s">
        <v>2611</v>
      </c>
      <c r="C6" s="87" t="s">
        <v>2612</v>
      </c>
      <c r="D6" s="88" t="s">
        <v>2605</v>
      </c>
      <c r="E6" s="88" t="s">
        <v>2606</v>
      </c>
      <c r="F6" s="89">
        <v>42556</v>
      </c>
      <c r="G6" s="86" t="s">
        <v>2607</v>
      </c>
      <c r="H6" s="90" t="s">
        <v>2608</v>
      </c>
    </row>
    <row r="7" spans="1:8" ht="75">
      <c r="A7" s="85">
        <v>4</v>
      </c>
      <c r="B7" s="86" t="s">
        <v>2613</v>
      </c>
      <c r="C7" s="87" t="s">
        <v>2614</v>
      </c>
      <c r="D7" s="88" t="s">
        <v>2605</v>
      </c>
      <c r="E7" s="88" t="s">
        <v>2606</v>
      </c>
      <c r="F7" s="89">
        <v>42556</v>
      </c>
      <c r="G7" s="86" t="s">
        <v>2607</v>
      </c>
      <c r="H7" s="90" t="s">
        <v>2608</v>
      </c>
    </row>
    <row r="8" spans="1:8" ht="135">
      <c r="A8" s="85">
        <v>5</v>
      </c>
      <c r="B8" s="86" t="s">
        <v>2615</v>
      </c>
      <c r="C8" s="87" t="s">
        <v>2616</v>
      </c>
      <c r="D8" s="88" t="s">
        <v>2605</v>
      </c>
      <c r="E8" s="88" t="s">
        <v>2606</v>
      </c>
      <c r="F8" s="89">
        <v>42556</v>
      </c>
      <c r="G8" s="86" t="s">
        <v>2607</v>
      </c>
      <c r="H8" s="90" t="s">
        <v>2608</v>
      </c>
    </row>
    <row r="9" spans="1:8" ht="45">
      <c r="A9" s="85">
        <v>6</v>
      </c>
      <c r="B9" s="86" t="s">
        <v>2617</v>
      </c>
      <c r="C9" s="91" t="s">
        <v>2618</v>
      </c>
      <c r="D9" s="88" t="s">
        <v>2619</v>
      </c>
      <c r="E9" s="88" t="s">
        <v>2620</v>
      </c>
      <c r="F9" s="89">
        <v>42604</v>
      </c>
      <c r="G9" s="86" t="s">
        <v>2621</v>
      </c>
      <c r="H9" s="92" t="s">
        <v>2622</v>
      </c>
    </row>
    <row r="10" spans="1:8" ht="45">
      <c r="A10" s="85">
        <v>7</v>
      </c>
      <c r="B10" s="86" t="s">
        <v>2623</v>
      </c>
      <c r="C10" s="91" t="s">
        <v>2624</v>
      </c>
      <c r="D10" s="88" t="s">
        <v>2605</v>
      </c>
      <c r="E10" s="88" t="s">
        <v>2606</v>
      </c>
      <c r="F10" s="89">
        <v>42604</v>
      </c>
      <c r="G10" s="86" t="s">
        <v>2625</v>
      </c>
      <c r="H10" s="92" t="s">
        <v>2622</v>
      </c>
    </row>
    <row r="11" spans="1:8" ht="90">
      <c r="A11" s="85">
        <v>8</v>
      </c>
      <c r="B11" s="86" t="s">
        <v>2626</v>
      </c>
      <c r="C11" s="87" t="s">
        <v>2627</v>
      </c>
      <c r="D11" s="88" t="s">
        <v>2605</v>
      </c>
      <c r="E11" s="88" t="s">
        <v>2606</v>
      </c>
      <c r="F11" s="89">
        <v>42353</v>
      </c>
      <c r="G11" s="86" t="s">
        <v>2607</v>
      </c>
      <c r="H11" s="92" t="s">
        <v>2622</v>
      </c>
    </row>
    <row r="12" spans="1:8" ht="45">
      <c r="A12" s="85">
        <v>9</v>
      </c>
      <c r="B12" s="86" t="s">
        <v>2628</v>
      </c>
      <c r="C12" s="87" t="s">
        <v>2629</v>
      </c>
      <c r="D12" s="88" t="s">
        <v>2605</v>
      </c>
      <c r="E12" s="93" t="s">
        <v>2606</v>
      </c>
      <c r="F12" s="94">
        <v>42556</v>
      </c>
      <c r="G12" s="86" t="s">
        <v>2607</v>
      </c>
      <c r="H12" s="92" t="s">
        <v>2622</v>
      </c>
    </row>
    <row r="13" spans="1:8" ht="75">
      <c r="A13" s="85">
        <v>10</v>
      </c>
      <c r="B13" s="86" t="s">
        <v>2630</v>
      </c>
      <c r="C13" s="95" t="s">
        <v>2631</v>
      </c>
      <c r="D13" s="88" t="s">
        <v>2605</v>
      </c>
      <c r="E13" s="93" t="s">
        <v>2606</v>
      </c>
      <c r="F13" s="94">
        <v>42556</v>
      </c>
      <c r="G13" s="86" t="s">
        <v>2607</v>
      </c>
      <c r="H13" s="92" t="s">
        <v>2622</v>
      </c>
    </row>
    <row r="14" spans="1:8" ht="45">
      <c r="A14" s="85">
        <v>11</v>
      </c>
      <c r="B14" s="86" t="s">
        <v>2626</v>
      </c>
      <c r="C14" s="91" t="s">
        <v>2632</v>
      </c>
      <c r="D14" s="88" t="s">
        <v>2605</v>
      </c>
      <c r="E14" s="96" t="s">
        <v>2606</v>
      </c>
      <c r="F14" s="94">
        <v>42353</v>
      </c>
      <c r="G14" s="88" t="s">
        <v>2633</v>
      </c>
      <c r="H14" s="92" t="s">
        <v>2622</v>
      </c>
    </row>
    <row r="15" spans="1:8">
      <c r="A15" s="85">
        <v>12</v>
      </c>
      <c r="B15" s="86" t="s">
        <v>2634</v>
      </c>
      <c r="C15" s="91" t="s">
        <v>2635</v>
      </c>
      <c r="D15" s="88" t="s">
        <v>2605</v>
      </c>
      <c r="E15" s="96" t="s">
        <v>2606</v>
      </c>
      <c r="F15" s="94">
        <v>42556</v>
      </c>
      <c r="G15" s="86" t="s">
        <v>2607</v>
      </c>
      <c r="H15" s="92" t="s">
        <v>2622</v>
      </c>
    </row>
    <row r="16" spans="1:8" ht="45">
      <c r="A16" s="85">
        <v>13</v>
      </c>
      <c r="B16" s="88" t="s">
        <v>2636</v>
      </c>
      <c r="C16" s="87" t="s">
        <v>2637</v>
      </c>
      <c r="D16" s="88" t="s">
        <v>2605</v>
      </c>
      <c r="E16" s="96" t="s">
        <v>2606</v>
      </c>
      <c r="F16" s="94">
        <v>42556</v>
      </c>
      <c r="G16" s="86" t="s">
        <v>2607</v>
      </c>
      <c r="H16" s="97" t="s">
        <v>2638</v>
      </c>
    </row>
    <row r="17" spans="1:8" ht="90">
      <c r="A17" s="85">
        <v>14</v>
      </c>
      <c r="B17" s="88" t="s">
        <v>2639</v>
      </c>
      <c r="C17" s="87" t="s">
        <v>2640</v>
      </c>
      <c r="D17" s="88" t="s">
        <v>2605</v>
      </c>
      <c r="E17" s="93" t="s">
        <v>2606</v>
      </c>
      <c r="F17" s="94">
        <v>42556</v>
      </c>
      <c r="G17" s="86" t="s">
        <v>2607</v>
      </c>
      <c r="H17" s="98" t="s">
        <v>2641</v>
      </c>
    </row>
    <row r="18" spans="1:8" ht="60">
      <c r="A18" s="85">
        <v>15</v>
      </c>
      <c r="B18" s="86" t="s">
        <v>2609</v>
      </c>
      <c r="C18" s="87" t="s">
        <v>2642</v>
      </c>
      <c r="D18" s="99" t="s">
        <v>2619</v>
      </c>
      <c r="E18" s="93" t="s">
        <v>2606</v>
      </c>
      <c r="F18" s="94">
        <v>42556</v>
      </c>
      <c r="G18" s="86" t="s">
        <v>2607</v>
      </c>
      <c r="H18" s="98" t="s">
        <v>2641</v>
      </c>
    </row>
    <row r="19" spans="1:8" ht="45">
      <c r="A19" s="85">
        <v>16</v>
      </c>
      <c r="B19" s="86" t="s">
        <v>2623</v>
      </c>
      <c r="C19" s="87" t="s">
        <v>2643</v>
      </c>
      <c r="D19" s="88" t="s">
        <v>2605</v>
      </c>
      <c r="E19" s="96" t="s">
        <v>2606</v>
      </c>
      <c r="F19" s="100">
        <v>42556</v>
      </c>
      <c r="G19" s="86" t="s">
        <v>2607</v>
      </c>
      <c r="H19" s="90" t="s">
        <v>2608</v>
      </c>
    </row>
    <row r="20" spans="1:8">
      <c r="A20" s="85">
        <v>17</v>
      </c>
      <c r="B20" s="86" t="s">
        <v>2644</v>
      </c>
      <c r="C20" s="87" t="s">
        <v>2645</v>
      </c>
      <c r="D20" s="88" t="s">
        <v>2605</v>
      </c>
      <c r="E20" s="96" t="s">
        <v>2606</v>
      </c>
      <c r="F20" s="100">
        <v>42556</v>
      </c>
      <c r="G20" s="86" t="s">
        <v>2607</v>
      </c>
      <c r="H20" s="92" t="s">
        <v>2622</v>
      </c>
    </row>
    <row r="21" spans="1:8" ht="60">
      <c r="A21" s="85">
        <v>18</v>
      </c>
      <c r="B21" s="86" t="s">
        <v>2646</v>
      </c>
      <c r="C21" s="87" t="s">
        <v>2647</v>
      </c>
      <c r="D21" s="88" t="s">
        <v>2605</v>
      </c>
      <c r="E21" s="96" t="s">
        <v>2606</v>
      </c>
      <c r="F21" s="100">
        <v>42556</v>
      </c>
      <c r="G21" s="86" t="s">
        <v>2607</v>
      </c>
      <c r="H21" s="92" t="s">
        <v>2622</v>
      </c>
    </row>
    <row r="22" spans="1:8" ht="60">
      <c r="A22" s="85">
        <v>19</v>
      </c>
      <c r="B22" s="86" t="s">
        <v>2648</v>
      </c>
      <c r="C22" s="87" t="s">
        <v>2649</v>
      </c>
      <c r="D22" s="88" t="s">
        <v>2605</v>
      </c>
      <c r="E22" s="96" t="s">
        <v>2606</v>
      </c>
      <c r="F22" s="100">
        <v>42556</v>
      </c>
      <c r="G22" s="86" t="s">
        <v>2607</v>
      </c>
      <c r="H22" s="98" t="s">
        <v>2641</v>
      </c>
    </row>
    <row r="23" spans="1:8" ht="60">
      <c r="A23" s="85">
        <v>20</v>
      </c>
      <c r="B23" s="86" t="s">
        <v>2650</v>
      </c>
      <c r="C23" s="87" t="s">
        <v>2651</v>
      </c>
      <c r="D23" s="88" t="s">
        <v>2652</v>
      </c>
      <c r="E23" s="88" t="s">
        <v>2620</v>
      </c>
      <c r="F23" s="100">
        <v>42622</v>
      </c>
      <c r="G23" s="86" t="s">
        <v>2653</v>
      </c>
      <c r="H23" s="90" t="s">
        <v>2608</v>
      </c>
    </row>
    <row r="24" spans="1:8" ht="75">
      <c r="A24" s="85">
        <v>21</v>
      </c>
      <c r="B24" s="86" t="s">
        <v>2654</v>
      </c>
      <c r="C24" s="87" t="s">
        <v>2655</v>
      </c>
      <c r="D24" s="88" t="s">
        <v>2605</v>
      </c>
      <c r="E24" s="96" t="s">
        <v>2656</v>
      </c>
      <c r="F24" s="100">
        <v>42622</v>
      </c>
      <c r="G24" s="86" t="s">
        <v>2653</v>
      </c>
      <c r="H24" s="97" t="s">
        <v>2638</v>
      </c>
    </row>
    <row r="25" spans="1:8" ht="45">
      <c r="A25" s="85">
        <v>22</v>
      </c>
      <c r="B25" s="86" t="s">
        <v>2657</v>
      </c>
      <c r="C25" s="87" t="s">
        <v>2658</v>
      </c>
      <c r="D25" s="88" t="s">
        <v>2605</v>
      </c>
      <c r="E25" s="96" t="s">
        <v>2606</v>
      </c>
      <c r="F25" s="100">
        <v>42556</v>
      </c>
      <c r="G25" s="86" t="s">
        <v>2607</v>
      </c>
      <c r="H25" s="98" t="s">
        <v>2641</v>
      </c>
    </row>
    <row r="26" spans="1:8" ht="45">
      <c r="A26" s="85">
        <v>23</v>
      </c>
      <c r="B26" s="86" t="s">
        <v>2659</v>
      </c>
      <c r="C26" s="87" t="s">
        <v>2660</v>
      </c>
      <c r="D26" s="88" t="s">
        <v>2605</v>
      </c>
      <c r="E26" s="96" t="s">
        <v>2656</v>
      </c>
      <c r="F26" s="101">
        <v>42416</v>
      </c>
      <c r="G26" s="86" t="s">
        <v>2661</v>
      </c>
      <c r="H26" s="102" t="s">
        <v>2641</v>
      </c>
    </row>
    <row r="27" spans="1:8" ht="45">
      <c r="A27" s="103">
        <v>24</v>
      </c>
      <c r="B27" s="104" t="s">
        <v>2662</v>
      </c>
      <c r="C27" s="105" t="s">
        <v>2663</v>
      </c>
      <c r="D27" s="104" t="s">
        <v>2605</v>
      </c>
      <c r="E27" s="106" t="s">
        <v>2664</v>
      </c>
      <c r="F27" s="107">
        <v>42716</v>
      </c>
      <c r="G27" s="104" t="s">
        <v>2665</v>
      </c>
      <c r="H27" s="108" t="s">
        <v>2608</v>
      </c>
    </row>
    <row r="28" spans="1:8" ht="30">
      <c r="A28" s="103">
        <v>25</v>
      </c>
      <c r="B28" s="109" t="s">
        <v>2666</v>
      </c>
      <c r="C28" s="105" t="s">
        <v>2667</v>
      </c>
      <c r="D28" s="104" t="s">
        <v>2605</v>
      </c>
      <c r="E28" s="106" t="s">
        <v>2668</v>
      </c>
      <c r="F28" s="107">
        <v>41255</v>
      </c>
      <c r="G28" s="104" t="s">
        <v>2669</v>
      </c>
      <c r="H28" s="110" t="s">
        <v>2622</v>
      </c>
    </row>
    <row r="29" spans="1:8" ht="45">
      <c r="A29" s="103">
        <v>26</v>
      </c>
      <c r="B29" s="111" t="s">
        <v>2670</v>
      </c>
      <c r="C29" s="112" t="s">
        <v>2671</v>
      </c>
      <c r="D29" s="113" t="s">
        <v>2605</v>
      </c>
      <c r="E29" s="111" t="s">
        <v>2672</v>
      </c>
      <c r="F29" s="114" t="s">
        <v>2673</v>
      </c>
      <c r="G29" s="115" t="s">
        <v>2674</v>
      </c>
      <c r="H29" s="116" t="s">
        <v>2641</v>
      </c>
    </row>
    <row r="30" spans="1:8" ht="48.75" customHeight="1">
      <c r="A30" s="103">
        <v>27</v>
      </c>
      <c r="B30" s="109" t="s">
        <v>2675</v>
      </c>
      <c r="C30" s="105" t="s">
        <v>2676</v>
      </c>
      <c r="D30" s="104" t="s">
        <v>2605</v>
      </c>
      <c r="E30" s="106" t="s">
        <v>2677</v>
      </c>
      <c r="F30" s="117" t="s">
        <v>2678</v>
      </c>
      <c r="G30" s="104" t="s">
        <v>2679</v>
      </c>
      <c r="H30" s="116" t="s">
        <v>2641</v>
      </c>
    </row>
    <row r="31" spans="1:8" ht="45">
      <c r="A31" s="118">
        <v>28</v>
      </c>
      <c r="B31" s="111" t="s">
        <v>2680</v>
      </c>
      <c r="C31" s="112" t="s">
        <v>2681</v>
      </c>
      <c r="D31" s="113" t="s">
        <v>2605</v>
      </c>
      <c r="E31" s="111" t="s">
        <v>2677</v>
      </c>
      <c r="F31" s="119" t="s">
        <v>2682</v>
      </c>
      <c r="G31" s="113" t="s">
        <v>2679</v>
      </c>
      <c r="H31" s="116" t="s">
        <v>2641</v>
      </c>
    </row>
    <row r="37" spans="3:5" ht="51" customHeight="1">
      <c r="C37" s="120"/>
      <c r="D37" s="121" t="s">
        <v>2683</v>
      </c>
      <c r="E37" s="122" t="s">
        <v>2684</v>
      </c>
    </row>
    <row r="38" spans="3:5">
      <c r="C38" s="123" t="s">
        <v>2608</v>
      </c>
      <c r="D38" s="124">
        <v>1</v>
      </c>
      <c r="E38" s="125">
        <v>7</v>
      </c>
    </row>
    <row r="39" spans="3:5">
      <c r="C39" s="126" t="s">
        <v>2622</v>
      </c>
      <c r="D39" s="127">
        <v>1</v>
      </c>
      <c r="E39" s="128">
        <v>9</v>
      </c>
    </row>
    <row r="40" spans="3:5">
      <c r="C40" s="126" t="s">
        <v>2638</v>
      </c>
      <c r="D40" s="127">
        <v>0</v>
      </c>
      <c r="E40" s="128">
        <v>4</v>
      </c>
    </row>
    <row r="41" spans="3:5">
      <c r="C41" s="129" t="s">
        <v>2641</v>
      </c>
      <c r="D41" s="130">
        <v>1</v>
      </c>
      <c r="E41" s="131">
        <v>5</v>
      </c>
    </row>
    <row r="42" spans="3:5">
      <c r="D42" s="120">
        <f>SUM(D38:D41)</f>
        <v>3</v>
      </c>
      <c r="E42" s="120">
        <f>SUM(E38:E41)</f>
        <v>25</v>
      </c>
    </row>
  </sheetData>
  <autoFilter ref="A3:H31" xr:uid="{00000000-0009-0000-0000-00001B000000}"/>
  <mergeCells count="1">
    <mergeCell ref="A1:H1"/>
  </mergeCells>
  <printOptions horizontalCentered="1" verticalCentered="1"/>
  <pageMargins left="0.51180555555555596" right="0.51180555555555596" top="0.55000000000000004" bottom="0.55000000000000004" header="0.31388888888888899" footer="0.31388888888888899"/>
  <pageSetup scale="90" orientation="landscape"/>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J86"/>
  <sheetViews>
    <sheetView topLeftCell="A76" workbookViewId="0">
      <selection activeCell="F10" sqref="F10"/>
    </sheetView>
  </sheetViews>
  <sheetFormatPr baseColWidth="10" defaultColWidth="9" defaultRowHeight="15"/>
  <cols>
    <col min="1" max="1" width="6.28515625" customWidth="1"/>
    <col min="3" max="3" width="15.42578125" customWidth="1"/>
    <col min="4" max="4" width="14.7109375" customWidth="1"/>
    <col min="5" max="5" width="14" customWidth="1"/>
    <col min="7" max="7" width="14.85546875" customWidth="1"/>
    <col min="8" max="8" width="14" customWidth="1"/>
    <col min="9" max="9" width="14.7109375" customWidth="1"/>
    <col min="10" max="10" width="14" customWidth="1"/>
  </cols>
  <sheetData>
    <row r="2" spans="1:10" ht="23.25">
      <c r="A2" s="1205" t="s">
        <v>2685</v>
      </c>
      <c r="B2" s="1205"/>
      <c r="C2" s="1205"/>
      <c r="D2" s="1205"/>
      <c r="E2" s="1205"/>
      <c r="F2" s="1205"/>
      <c r="G2" s="1205"/>
      <c r="H2" s="1205"/>
      <c r="I2" s="1205"/>
      <c r="J2" s="1205"/>
    </row>
    <row r="4" spans="1:10" ht="45">
      <c r="A4" s="37" t="s">
        <v>0</v>
      </c>
      <c r="B4" s="38" t="s">
        <v>1</v>
      </c>
      <c r="C4" s="39" t="s">
        <v>2686</v>
      </c>
      <c r="D4" s="39" t="s">
        <v>2</v>
      </c>
      <c r="E4" s="38" t="s">
        <v>3</v>
      </c>
      <c r="F4" s="38" t="s">
        <v>4</v>
      </c>
      <c r="G4" s="38" t="s">
        <v>5</v>
      </c>
      <c r="H4" s="38" t="s">
        <v>6</v>
      </c>
      <c r="I4" s="38" t="s">
        <v>7</v>
      </c>
      <c r="J4" s="55" t="s">
        <v>8</v>
      </c>
    </row>
    <row r="5" spans="1:10" ht="25.5">
      <c r="A5" s="40">
        <v>1</v>
      </c>
      <c r="B5" s="41" t="s">
        <v>46</v>
      </c>
      <c r="C5" s="42" t="s">
        <v>51</v>
      </c>
      <c r="D5" s="43" t="s">
        <v>47</v>
      </c>
      <c r="E5" s="43" t="s">
        <v>48</v>
      </c>
      <c r="F5" s="44" t="s">
        <v>49</v>
      </c>
      <c r="G5" s="43" t="s">
        <v>32</v>
      </c>
      <c r="H5" s="43" t="s">
        <v>33</v>
      </c>
      <c r="I5" s="43" t="s">
        <v>32</v>
      </c>
      <c r="J5" s="56">
        <v>734.77</v>
      </c>
    </row>
    <row r="6" spans="1:10" ht="25.5">
      <c r="A6" s="8">
        <v>2</v>
      </c>
      <c r="B6" s="45" t="s">
        <v>78</v>
      </c>
      <c r="C6" s="46" t="s">
        <v>51</v>
      </c>
      <c r="D6" s="11" t="s">
        <v>2687</v>
      </c>
      <c r="E6" s="11" t="s">
        <v>48</v>
      </c>
      <c r="F6" s="12" t="s">
        <v>49</v>
      </c>
      <c r="G6" s="11" t="s">
        <v>32</v>
      </c>
      <c r="H6" s="11" t="s">
        <v>72</v>
      </c>
      <c r="I6" s="11" t="s">
        <v>32</v>
      </c>
      <c r="J6" s="57">
        <v>45168</v>
      </c>
    </row>
    <row r="7" spans="1:10" ht="25.5">
      <c r="A7" s="8">
        <v>3</v>
      </c>
      <c r="B7" s="45" t="s">
        <v>86</v>
      </c>
      <c r="C7" s="46" t="s">
        <v>51</v>
      </c>
      <c r="D7" s="11" t="s">
        <v>87</v>
      </c>
      <c r="E7" s="11" t="s">
        <v>48</v>
      </c>
      <c r="F7" s="12" t="s">
        <v>49</v>
      </c>
      <c r="G7" s="11" t="s">
        <v>32</v>
      </c>
      <c r="H7" s="11" t="s">
        <v>88</v>
      </c>
      <c r="I7" s="11" t="s">
        <v>32</v>
      </c>
      <c r="J7" s="57">
        <v>34934</v>
      </c>
    </row>
    <row r="8" spans="1:10" ht="25.5">
      <c r="A8" s="8">
        <v>4</v>
      </c>
      <c r="B8" s="47" t="s">
        <v>92</v>
      </c>
      <c r="C8" s="46" t="s">
        <v>51</v>
      </c>
      <c r="D8" s="11" t="s">
        <v>93</v>
      </c>
      <c r="E8" s="11" t="s">
        <v>48</v>
      </c>
      <c r="F8" s="12" t="s">
        <v>49</v>
      </c>
      <c r="G8" s="11" t="s">
        <v>32</v>
      </c>
      <c r="H8" s="11" t="s">
        <v>94</v>
      </c>
      <c r="I8" s="11" t="s">
        <v>32</v>
      </c>
      <c r="J8" s="57">
        <v>30719</v>
      </c>
    </row>
    <row r="9" spans="1:10" ht="25.5">
      <c r="A9" s="8">
        <v>5</v>
      </c>
      <c r="B9" s="45" t="s">
        <v>391</v>
      </c>
      <c r="C9" s="46" t="s">
        <v>51</v>
      </c>
      <c r="D9" s="11" t="s">
        <v>392</v>
      </c>
      <c r="E9" s="11" t="s">
        <v>48</v>
      </c>
      <c r="F9" s="12" t="s">
        <v>49</v>
      </c>
      <c r="G9" s="11" t="s">
        <v>180</v>
      </c>
      <c r="H9" s="11" t="s">
        <v>393</v>
      </c>
      <c r="I9" s="11" t="s">
        <v>394</v>
      </c>
      <c r="J9" s="58">
        <v>983.29200000000003</v>
      </c>
    </row>
    <row r="10" spans="1:10" ht="114.75">
      <c r="A10" s="8">
        <v>6</v>
      </c>
      <c r="B10" s="47" t="s">
        <v>401</v>
      </c>
      <c r="C10" s="46" t="s">
        <v>51</v>
      </c>
      <c r="D10" s="11" t="s">
        <v>402</v>
      </c>
      <c r="E10" s="14" t="s">
        <v>403</v>
      </c>
      <c r="F10" s="12" t="s">
        <v>127</v>
      </c>
      <c r="G10" s="11" t="s">
        <v>188</v>
      </c>
      <c r="H10" s="11" t="s">
        <v>404</v>
      </c>
      <c r="I10" s="11" t="s">
        <v>190</v>
      </c>
      <c r="J10" s="57">
        <v>2800</v>
      </c>
    </row>
    <row r="11" spans="1:10" ht="25.5">
      <c r="A11" s="8">
        <v>7</v>
      </c>
      <c r="B11" s="47" t="s">
        <v>425</v>
      </c>
      <c r="C11" s="46" t="s">
        <v>51</v>
      </c>
      <c r="D11" s="11" t="s">
        <v>426</v>
      </c>
      <c r="E11" s="11" t="s">
        <v>48</v>
      </c>
      <c r="F11" s="12" t="s">
        <v>49</v>
      </c>
      <c r="G11" s="11" t="s">
        <v>210</v>
      </c>
      <c r="H11" s="11" t="s">
        <v>211</v>
      </c>
      <c r="I11" s="11" t="s">
        <v>212</v>
      </c>
      <c r="J11" s="59">
        <v>6265</v>
      </c>
    </row>
    <row r="12" spans="1:10" ht="25.5">
      <c r="A12" s="8">
        <v>8</v>
      </c>
      <c r="B12" s="47" t="s">
        <v>550</v>
      </c>
      <c r="C12" s="48" t="s">
        <v>555</v>
      </c>
      <c r="D12" s="11" t="s">
        <v>551</v>
      </c>
      <c r="E12" s="11" t="s">
        <v>403</v>
      </c>
      <c r="F12" s="12" t="s">
        <v>127</v>
      </c>
      <c r="G12" s="11" t="s">
        <v>188</v>
      </c>
      <c r="H12" s="11" t="s">
        <v>552</v>
      </c>
      <c r="I12" s="11" t="s">
        <v>553</v>
      </c>
      <c r="J12" s="57">
        <v>2012</v>
      </c>
    </row>
    <row r="13" spans="1:10" ht="25.5">
      <c r="A13" s="8">
        <v>9</v>
      </c>
      <c r="B13" s="45" t="s">
        <v>57</v>
      </c>
      <c r="C13" s="48" t="s">
        <v>61</v>
      </c>
      <c r="D13" s="11" t="s">
        <v>58</v>
      </c>
      <c r="E13" s="11" t="s">
        <v>30</v>
      </c>
      <c r="F13" s="12" t="s">
        <v>31</v>
      </c>
      <c r="G13" s="11" t="s">
        <v>32</v>
      </c>
      <c r="H13" s="11" t="s">
        <v>59</v>
      </c>
      <c r="I13" s="11" t="s">
        <v>32</v>
      </c>
      <c r="J13" s="57">
        <v>202865</v>
      </c>
    </row>
    <row r="14" spans="1:10" ht="25.5">
      <c r="A14" s="8">
        <v>10</v>
      </c>
      <c r="B14" s="47" t="s">
        <v>455</v>
      </c>
      <c r="C14" s="48" t="s">
        <v>61</v>
      </c>
      <c r="D14" s="11" t="s">
        <v>2688</v>
      </c>
      <c r="E14" s="11" t="s">
        <v>126</v>
      </c>
      <c r="F14" s="12" t="s">
        <v>127</v>
      </c>
      <c r="G14" s="11" t="s">
        <v>210</v>
      </c>
      <c r="H14" s="11" t="s">
        <v>457</v>
      </c>
      <c r="I14" s="11" t="s">
        <v>212</v>
      </c>
      <c r="J14" s="57">
        <v>20760</v>
      </c>
    </row>
    <row r="15" spans="1:10" ht="25.5">
      <c r="A15" s="8">
        <v>11</v>
      </c>
      <c r="B15" s="45" t="s">
        <v>199</v>
      </c>
      <c r="C15" s="48" t="s">
        <v>205</v>
      </c>
      <c r="D15" s="11" t="s">
        <v>200</v>
      </c>
      <c r="E15" s="11" t="s">
        <v>30</v>
      </c>
      <c r="F15" s="12" t="s">
        <v>31</v>
      </c>
      <c r="G15" s="11" t="s">
        <v>201</v>
      </c>
      <c r="H15" s="11" t="s">
        <v>202</v>
      </c>
      <c r="I15" s="11" t="s">
        <v>203</v>
      </c>
      <c r="J15" s="57">
        <v>491</v>
      </c>
    </row>
    <row r="16" spans="1:10" ht="38.25">
      <c r="A16" s="8">
        <v>12</v>
      </c>
      <c r="B16" s="45" t="s">
        <v>472</v>
      </c>
      <c r="C16" s="49" t="s">
        <v>477</v>
      </c>
      <c r="D16" s="11" t="s">
        <v>473</v>
      </c>
      <c r="E16" s="11" t="s">
        <v>474</v>
      </c>
      <c r="F16" s="12" t="s">
        <v>127</v>
      </c>
      <c r="G16" s="11" t="s">
        <v>210</v>
      </c>
      <c r="H16" s="11" t="s">
        <v>475</v>
      </c>
      <c r="I16" s="11" t="s">
        <v>212</v>
      </c>
      <c r="J16" s="57">
        <v>47433</v>
      </c>
    </row>
    <row r="17" spans="1:10" ht="51">
      <c r="A17" s="8">
        <v>13</v>
      </c>
      <c r="B17" s="45" t="s">
        <v>428</v>
      </c>
      <c r="C17" s="49" t="s">
        <v>433</v>
      </c>
      <c r="D17" s="11" t="s">
        <v>2218</v>
      </c>
      <c r="E17" s="11" t="s">
        <v>105</v>
      </c>
      <c r="F17" s="12" t="s">
        <v>106</v>
      </c>
      <c r="G17" s="11" t="s">
        <v>430</v>
      </c>
      <c r="H17" s="11" t="s">
        <v>156</v>
      </c>
      <c r="I17" s="11" t="s">
        <v>431</v>
      </c>
      <c r="J17" s="57">
        <v>240536.82</v>
      </c>
    </row>
    <row r="18" spans="1:10" ht="25.5">
      <c r="A18" s="8">
        <v>14</v>
      </c>
      <c r="B18" s="45" t="s">
        <v>133</v>
      </c>
      <c r="C18" s="50" t="s">
        <v>136</v>
      </c>
      <c r="D18" s="11" t="s">
        <v>134</v>
      </c>
      <c r="E18" s="11" t="s">
        <v>135</v>
      </c>
      <c r="F18" s="12" t="s">
        <v>49</v>
      </c>
      <c r="G18" s="11" t="s">
        <v>32</v>
      </c>
      <c r="H18" s="11" t="s">
        <v>118</v>
      </c>
      <c r="I18" s="11" t="s">
        <v>32</v>
      </c>
      <c r="J18" s="60">
        <v>1683</v>
      </c>
    </row>
    <row r="19" spans="1:10" ht="25.5">
      <c r="A19" s="8">
        <v>15</v>
      </c>
      <c r="B19" s="47" t="s">
        <v>137</v>
      </c>
      <c r="C19" s="50" t="s">
        <v>136</v>
      </c>
      <c r="D19" s="11" t="s">
        <v>138</v>
      </c>
      <c r="E19" s="11" t="s">
        <v>135</v>
      </c>
      <c r="F19" s="12" t="s">
        <v>49</v>
      </c>
      <c r="G19" s="11" t="s">
        <v>32</v>
      </c>
      <c r="H19" s="11" t="s">
        <v>118</v>
      </c>
      <c r="I19" s="11" t="s">
        <v>32</v>
      </c>
      <c r="J19" s="60">
        <v>3120</v>
      </c>
    </row>
    <row r="20" spans="1:10" ht="25.5">
      <c r="A20" s="8">
        <v>16</v>
      </c>
      <c r="B20" s="45" t="s">
        <v>139</v>
      </c>
      <c r="C20" s="50" t="s">
        <v>136</v>
      </c>
      <c r="D20" s="11" t="s">
        <v>140</v>
      </c>
      <c r="E20" s="11" t="s">
        <v>135</v>
      </c>
      <c r="F20" s="12" t="s">
        <v>49</v>
      </c>
      <c r="G20" s="11" t="s">
        <v>32</v>
      </c>
      <c r="H20" s="11" t="s">
        <v>118</v>
      </c>
      <c r="I20" s="11" t="s">
        <v>32</v>
      </c>
      <c r="J20" s="60">
        <v>1512</v>
      </c>
    </row>
    <row r="21" spans="1:10" ht="51">
      <c r="A21" s="8">
        <v>17</v>
      </c>
      <c r="B21" s="45" t="s">
        <v>418</v>
      </c>
      <c r="C21" s="50" t="s">
        <v>423</v>
      </c>
      <c r="D21" s="11" t="s">
        <v>2157</v>
      </c>
      <c r="E21" s="11" t="s">
        <v>105</v>
      </c>
      <c r="F21" s="12" t="s">
        <v>106</v>
      </c>
      <c r="G21" s="11" t="s">
        <v>172</v>
      </c>
      <c r="H21" s="11" t="s">
        <v>420</v>
      </c>
      <c r="I21" s="11" t="s">
        <v>421</v>
      </c>
      <c r="J21" s="57">
        <v>22114.45</v>
      </c>
    </row>
    <row r="22" spans="1:10" ht="25.5">
      <c r="A22" s="8">
        <v>18</v>
      </c>
      <c r="B22" s="45" t="s">
        <v>28</v>
      </c>
      <c r="C22" s="51" t="s">
        <v>36</v>
      </c>
      <c r="D22" s="43" t="s">
        <v>2689</v>
      </c>
      <c r="E22" s="43" t="s">
        <v>30</v>
      </c>
      <c r="F22" s="44" t="s">
        <v>31</v>
      </c>
      <c r="G22" s="43" t="s">
        <v>32</v>
      </c>
      <c r="H22" s="43" t="s">
        <v>33</v>
      </c>
      <c r="I22" s="43" t="s">
        <v>32</v>
      </c>
      <c r="J22" s="56">
        <v>55005</v>
      </c>
    </row>
    <row r="23" spans="1:10" ht="25.5">
      <c r="A23" s="8">
        <v>19</v>
      </c>
      <c r="B23" s="47" t="s">
        <v>372</v>
      </c>
      <c r="C23" s="52" t="s">
        <v>376</v>
      </c>
      <c r="D23" s="11" t="s">
        <v>373</v>
      </c>
      <c r="E23" s="11" t="s">
        <v>30</v>
      </c>
      <c r="F23" s="12" t="s">
        <v>31</v>
      </c>
      <c r="G23" s="10" t="s">
        <v>155</v>
      </c>
      <c r="H23" s="11" t="s">
        <v>374</v>
      </c>
      <c r="I23" s="11" t="s">
        <v>197</v>
      </c>
      <c r="J23" s="57">
        <v>50.21</v>
      </c>
    </row>
    <row r="24" spans="1:10" ht="38.25">
      <c r="A24" s="8">
        <v>20</v>
      </c>
      <c r="B24" s="45" t="s">
        <v>186</v>
      </c>
      <c r="C24" s="52" t="s">
        <v>191</v>
      </c>
      <c r="D24" s="11" t="s">
        <v>187</v>
      </c>
      <c r="E24" s="11" t="s">
        <v>30</v>
      </c>
      <c r="F24" s="12" t="s">
        <v>31</v>
      </c>
      <c r="G24" s="11" t="s">
        <v>188</v>
      </c>
      <c r="H24" s="11" t="s">
        <v>189</v>
      </c>
      <c r="I24" s="11" t="s">
        <v>190</v>
      </c>
      <c r="J24" s="57">
        <v>73</v>
      </c>
    </row>
    <row r="25" spans="1:10" ht="38.25">
      <c r="A25" s="8">
        <v>21</v>
      </c>
      <c r="B25" s="45" t="s">
        <v>319</v>
      </c>
      <c r="C25" s="52" t="s">
        <v>191</v>
      </c>
      <c r="D25" s="11" t="s">
        <v>320</v>
      </c>
      <c r="E25" s="11" t="s">
        <v>30</v>
      </c>
      <c r="F25" s="12" t="s">
        <v>31</v>
      </c>
      <c r="G25" s="11" t="s">
        <v>321</v>
      </c>
      <c r="H25" s="11" t="s">
        <v>322</v>
      </c>
      <c r="I25" s="11" t="s">
        <v>323</v>
      </c>
      <c r="J25" s="58">
        <v>1049.5181829999999</v>
      </c>
    </row>
    <row r="26" spans="1:10" ht="25.5">
      <c r="A26" s="8">
        <v>22</v>
      </c>
      <c r="B26" s="45" t="s">
        <v>408</v>
      </c>
      <c r="C26" s="52" t="s">
        <v>191</v>
      </c>
      <c r="D26" s="11" t="s">
        <v>409</v>
      </c>
      <c r="E26" s="11" t="s">
        <v>30</v>
      </c>
      <c r="F26" s="12" t="s">
        <v>31</v>
      </c>
      <c r="G26" s="11" t="s">
        <v>32</v>
      </c>
      <c r="H26" s="11" t="s">
        <v>118</v>
      </c>
      <c r="I26" s="11" t="s">
        <v>32</v>
      </c>
      <c r="J26" s="57">
        <v>1105</v>
      </c>
    </row>
    <row r="27" spans="1:10" ht="25.5">
      <c r="A27" s="8">
        <v>23</v>
      </c>
      <c r="B27" s="47" t="s">
        <v>413</v>
      </c>
      <c r="C27" s="52" t="s">
        <v>191</v>
      </c>
      <c r="D27" s="11" t="s">
        <v>414</v>
      </c>
      <c r="E27" s="11" t="s">
        <v>30</v>
      </c>
      <c r="F27" s="12" t="s">
        <v>31</v>
      </c>
      <c r="G27" s="11" t="s">
        <v>180</v>
      </c>
      <c r="H27" s="11" t="s">
        <v>415</v>
      </c>
      <c r="I27" s="11" t="s">
        <v>182</v>
      </c>
      <c r="J27" s="57">
        <v>81.003</v>
      </c>
    </row>
    <row r="28" spans="1:10" ht="25.5">
      <c r="A28" s="8">
        <v>24</v>
      </c>
      <c r="B28" s="47" t="s">
        <v>481</v>
      </c>
      <c r="C28" s="52" t="s">
        <v>191</v>
      </c>
      <c r="D28" s="11" t="s">
        <v>2690</v>
      </c>
      <c r="E28" s="11" t="s">
        <v>30</v>
      </c>
      <c r="F28" s="12" t="s">
        <v>31</v>
      </c>
      <c r="G28" s="11" t="s">
        <v>180</v>
      </c>
      <c r="H28" s="11" t="s">
        <v>415</v>
      </c>
      <c r="I28" s="11" t="s">
        <v>182</v>
      </c>
      <c r="J28" s="57">
        <v>14301.26</v>
      </c>
    </row>
    <row r="29" spans="1:10" ht="25.5">
      <c r="A29" s="8">
        <v>25</v>
      </c>
      <c r="B29" s="47" t="s">
        <v>178</v>
      </c>
      <c r="C29" s="53" t="s">
        <v>183</v>
      </c>
      <c r="D29" s="11" t="s">
        <v>179</v>
      </c>
      <c r="E29" s="11" t="s">
        <v>30</v>
      </c>
      <c r="F29" s="12" t="s">
        <v>31</v>
      </c>
      <c r="G29" s="11" t="s">
        <v>180</v>
      </c>
      <c r="H29" s="11" t="s">
        <v>181</v>
      </c>
      <c r="I29" s="11" t="s">
        <v>182</v>
      </c>
      <c r="J29" s="57">
        <v>11</v>
      </c>
    </row>
    <row r="30" spans="1:10" ht="25.5">
      <c r="A30" s="8">
        <v>26</v>
      </c>
      <c r="B30" s="47" t="s">
        <v>162</v>
      </c>
      <c r="C30" s="53" t="s">
        <v>167</v>
      </c>
      <c r="D30" s="11" t="s">
        <v>1991</v>
      </c>
      <c r="E30" s="11" t="s">
        <v>30</v>
      </c>
      <c r="F30" s="12" t="s">
        <v>31</v>
      </c>
      <c r="G30" s="10" t="s">
        <v>164</v>
      </c>
      <c r="H30" s="11" t="s">
        <v>165</v>
      </c>
      <c r="I30" s="11" t="s">
        <v>165</v>
      </c>
      <c r="J30" s="57">
        <v>240</v>
      </c>
    </row>
    <row r="31" spans="1:10" ht="25.5">
      <c r="A31" s="8">
        <v>27</v>
      </c>
      <c r="B31" s="47" t="s">
        <v>70</v>
      </c>
      <c r="C31" s="54" t="s">
        <v>73</v>
      </c>
      <c r="D31" s="11" t="s">
        <v>2691</v>
      </c>
      <c r="E31" s="11" t="s">
        <v>30</v>
      </c>
      <c r="F31" s="12" t="s">
        <v>31</v>
      </c>
      <c r="G31" s="11" t="s">
        <v>32</v>
      </c>
      <c r="H31" s="11" t="s">
        <v>72</v>
      </c>
      <c r="I31" s="11" t="s">
        <v>32</v>
      </c>
      <c r="J31" s="57">
        <v>289912</v>
      </c>
    </row>
    <row r="32" spans="1:10" ht="38.25">
      <c r="A32" s="8">
        <v>28</v>
      </c>
      <c r="B32" s="47" t="s">
        <v>81</v>
      </c>
      <c r="C32" s="54" t="s">
        <v>73</v>
      </c>
      <c r="D32" s="11" t="s">
        <v>82</v>
      </c>
      <c r="E32" s="11" t="s">
        <v>30</v>
      </c>
      <c r="F32" s="12" t="s">
        <v>31</v>
      </c>
      <c r="G32" s="11" t="s">
        <v>32</v>
      </c>
      <c r="H32" s="11" t="s">
        <v>83</v>
      </c>
      <c r="I32" s="11" t="s">
        <v>32</v>
      </c>
      <c r="J32" s="57">
        <v>116911</v>
      </c>
    </row>
    <row r="33" spans="1:10" ht="25.5">
      <c r="A33" s="8">
        <v>29</v>
      </c>
      <c r="B33" s="47" t="s">
        <v>96</v>
      </c>
      <c r="C33" s="54" t="s">
        <v>73</v>
      </c>
      <c r="D33" s="11" t="s">
        <v>2692</v>
      </c>
      <c r="E33" s="11" t="s">
        <v>30</v>
      </c>
      <c r="F33" s="12" t="s">
        <v>31</v>
      </c>
      <c r="G33" s="11" t="s">
        <v>32</v>
      </c>
      <c r="H33" s="11" t="s">
        <v>98</v>
      </c>
      <c r="I33" s="11" t="s">
        <v>32</v>
      </c>
      <c r="J33" s="57">
        <v>37160</v>
      </c>
    </row>
    <row r="34" spans="1:10" ht="102">
      <c r="A34" s="8">
        <v>30</v>
      </c>
      <c r="B34" s="45" t="s">
        <v>103</v>
      </c>
      <c r="C34" s="54" t="s">
        <v>73</v>
      </c>
      <c r="D34" s="10" t="s">
        <v>2522</v>
      </c>
      <c r="E34" s="11" t="s">
        <v>105</v>
      </c>
      <c r="F34" s="10" t="s">
        <v>106</v>
      </c>
      <c r="G34" s="10" t="s">
        <v>32</v>
      </c>
      <c r="H34" s="10" t="s">
        <v>107</v>
      </c>
      <c r="I34" s="10" t="s">
        <v>108</v>
      </c>
      <c r="J34" s="61">
        <v>2160204</v>
      </c>
    </row>
    <row r="35" spans="1:10" ht="25.5">
      <c r="A35" s="8">
        <v>31</v>
      </c>
      <c r="B35" s="47" t="s">
        <v>115</v>
      </c>
      <c r="C35" s="54" t="s">
        <v>73</v>
      </c>
      <c r="D35" s="11" t="s">
        <v>116</v>
      </c>
      <c r="E35" s="11" t="s">
        <v>117</v>
      </c>
      <c r="F35" s="12" t="s">
        <v>31</v>
      </c>
      <c r="G35" s="11" t="s">
        <v>32</v>
      </c>
      <c r="H35" s="11" t="s">
        <v>118</v>
      </c>
      <c r="I35" s="11" t="s">
        <v>32</v>
      </c>
      <c r="J35" s="61">
        <v>60878</v>
      </c>
    </row>
    <row r="36" spans="1:10" ht="25.5">
      <c r="A36" s="8">
        <v>32</v>
      </c>
      <c r="B36" s="45" t="s">
        <v>124</v>
      </c>
      <c r="C36" s="54" t="s">
        <v>73</v>
      </c>
      <c r="D36" s="11" t="s">
        <v>125</v>
      </c>
      <c r="E36" s="11" t="s">
        <v>126</v>
      </c>
      <c r="F36" s="12" t="s">
        <v>127</v>
      </c>
      <c r="G36" s="11" t="s">
        <v>32</v>
      </c>
      <c r="H36" s="11" t="s">
        <v>128</v>
      </c>
      <c r="I36" s="11" t="s">
        <v>32</v>
      </c>
      <c r="J36" s="60">
        <v>16695</v>
      </c>
    </row>
    <row r="37" spans="1:10" ht="25.5">
      <c r="A37" s="8">
        <v>33</v>
      </c>
      <c r="B37" s="47" t="s">
        <v>130</v>
      </c>
      <c r="C37" s="54" t="s">
        <v>73</v>
      </c>
      <c r="D37" s="11" t="s">
        <v>131</v>
      </c>
      <c r="E37" s="11" t="s">
        <v>126</v>
      </c>
      <c r="F37" s="12" t="s">
        <v>127</v>
      </c>
      <c r="G37" s="11" t="s">
        <v>32</v>
      </c>
      <c r="H37" s="11" t="s">
        <v>118</v>
      </c>
      <c r="I37" s="11" t="s">
        <v>32</v>
      </c>
      <c r="J37" s="60">
        <v>4044</v>
      </c>
    </row>
    <row r="38" spans="1:10" ht="51">
      <c r="A38" s="8">
        <v>34</v>
      </c>
      <c r="B38" s="47" t="s">
        <v>141</v>
      </c>
      <c r="C38" s="54" t="s">
        <v>73</v>
      </c>
      <c r="D38" s="11" t="s">
        <v>142</v>
      </c>
      <c r="E38" s="11" t="s">
        <v>105</v>
      </c>
      <c r="F38" s="12" t="s">
        <v>106</v>
      </c>
      <c r="G38" s="11" t="s">
        <v>32</v>
      </c>
      <c r="H38" s="11" t="s">
        <v>143</v>
      </c>
      <c r="I38" s="11" t="s">
        <v>32</v>
      </c>
      <c r="J38" s="57">
        <v>123685</v>
      </c>
    </row>
    <row r="39" spans="1:10" ht="25.5">
      <c r="A39" s="8">
        <v>35</v>
      </c>
      <c r="B39" s="45" t="s">
        <v>146</v>
      </c>
      <c r="C39" s="54" t="s">
        <v>73</v>
      </c>
      <c r="D39" s="11" t="s">
        <v>147</v>
      </c>
      <c r="E39" s="11" t="s">
        <v>126</v>
      </c>
      <c r="F39" s="12" t="s">
        <v>127</v>
      </c>
      <c r="G39" s="11" t="s">
        <v>32</v>
      </c>
      <c r="H39" s="11" t="s">
        <v>148</v>
      </c>
      <c r="I39" s="11" t="s">
        <v>32</v>
      </c>
      <c r="J39" s="60">
        <v>14766</v>
      </c>
    </row>
    <row r="40" spans="1:10" ht="25.5">
      <c r="A40" s="8">
        <v>36</v>
      </c>
      <c r="B40" s="47" t="s">
        <v>149</v>
      </c>
      <c r="C40" s="54" t="s">
        <v>73</v>
      </c>
      <c r="D40" s="11" t="s">
        <v>150</v>
      </c>
      <c r="E40" s="11" t="s">
        <v>126</v>
      </c>
      <c r="F40" s="12" t="s">
        <v>127</v>
      </c>
      <c r="G40" s="11" t="s">
        <v>32</v>
      </c>
      <c r="H40" s="11" t="s">
        <v>151</v>
      </c>
      <c r="I40" s="11" t="s">
        <v>32</v>
      </c>
      <c r="J40" s="60">
        <v>19037</v>
      </c>
    </row>
    <row r="41" spans="1:10" ht="63.75">
      <c r="A41" s="8">
        <v>37</v>
      </c>
      <c r="B41" s="45" t="s">
        <v>152</v>
      </c>
      <c r="C41" s="54" t="s">
        <v>73</v>
      </c>
      <c r="D41" s="11" t="s">
        <v>153</v>
      </c>
      <c r="E41" s="11" t="s">
        <v>403</v>
      </c>
      <c r="F41" s="12" t="s">
        <v>127</v>
      </c>
      <c r="G41" s="10" t="s">
        <v>155</v>
      </c>
      <c r="H41" s="11" t="s">
        <v>156</v>
      </c>
      <c r="I41" s="11" t="s">
        <v>157</v>
      </c>
      <c r="J41" s="59">
        <v>122900</v>
      </c>
    </row>
    <row r="42" spans="1:10" ht="25.5">
      <c r="A42" s="8">
        <v>38</v>
      </c>
      <c r="B42" s="45" t="s">
        <v>170</v>
      </c>
      <c r="C42" s="54" t="s">
        <v>73</v>
      </c>
      <c r="D42" s="14" t="s">
        <v>171</v>
      </c>
      <c r="E42" s="11" t="s">
        <v>30</v>
      </c>
      <c r="F42" s="12" t="s">
        <v>31</v>
      </c>
      <c r="G42" s="11" t="s">
        <v>172</v>
      </c>
      <c r="H42" s="11" t="s">
        <v>173</v>
      </c>
      <c r="I42" s="11" t="s">
        <v>174</v>
      </c>
      <c r="J42" s="57">
        <v>60</v>
      </c>
    </row>
    <row r="43" spans="1:10" ht="25.5">
      <c r="A43" s="8">
        <v>39</v>
      </c>
      <c r="B43" s="47" t="s">
        <v>194</v>
      </c>
      <c r="C43" s="54" t="s">
        <v>73</v>
      </c>
      <c r="D43" s="11" t="s">
        <v>195</v>
      </c>
      <c r="E43" s="11" t="s">
        <v>30</v>
      </c>
      <c r="F43" s="12" t="s">
        <v>31</v>
      </c>
      <c r="G43" s="10" t="s">
        <v>155</v>
      </c>
      <c r="H43" s="11" t="s">
        <v>196</v>
      </c>
      <c r="I43" s="11" t="s">
        <v>197</v>
      </c>
      <c r="J43" s="57">
        <v>15</v>
      </c>
    </row>
    <row r="44" spans="1:10" ht="25.5">
      <c r="A44" s="8">
        <v>40</v>
      </c>
      <c r="B44" s="47" t="s">
        <v>208</v>
      </c>
      <c r="C44" s="54" t="s">
        <v>73</v>
      </c>
      <c r="D44" s="11" t="s">
        <v>209</v>
      </c>
      <c r="E44" s="11" t="s">
        <v>30</v>
      </c>
      <c r="F44" s="12" t="s">
        <v>31</v>
      </c>
      <c r="G44" s="11" t="s">
        <v>210</v>
      </c>
      <c r="H44" s="11" t="s">
        <v>211</v>
      </c>
      <c r="I44" s="11" t="s">
        <v>212</v>
      </c>
      <c r="J44" s="57">
        <v>13000</v>
      </c>
    </row>
    <row r="45" spans="1:10" ht="25.5">
      <c r="A45" s="8">
        <v>41</v>
      </c>
      <c r="B45" s="45" t="s">
        <v>219</v>
      </c>
      <c r="C45" s="54" t="s">
        <v>73</v>
      </c>
      <c r="D45" s="11" t="s">
        <v>220</v>
      </c>
      <c r="E45" s="11" t="s">
        <v>30</v>
      </c>
      <c r="F45" s="12" t="s">
        <v>31</v>
      </c>
      <c r="G45" s="10" t="s">
        <v>164</v>
      </c>
      <c r="H45" s="11" t="s">
        <v>221</v>
      </c>
      <c r="I45" s="11" t="s">
        <v>222</v>
      </c>
      <c r="J45" s="57">
        <v>0.48</v>
      </c>
    </row>
    <row r="46" spans="1:10" ht="25.5">
      <c r="A46" s="8">
        <v>42</v>
      </c>
      <c r="B46" s="47" t="s">
        <v>225</v>
      </c>
      <c r="C46" s="54" t="s">
        <v>73</v>
      </c>
      <c r="D46" s="11" t="s">
        <v>226</v>
      </c>
      <c r="E46" s="11" t="s">
        <v>227</v>
      </c>
      <c r="F46" s="11" t="s">
        <v>228</v>
      </c>
      <c r="G46" s="11" t="s">
        <v>210</v>
      </c>
      <c r="H46" s="11" t="s">
        <v>229</v>
      </c>
      <c r="I46" s="11" t="s">
        <v>212</v>
      </c>
      <c r="J46" s="57">
        <v>311.25900000000001</v>
      </c>
    </row>
    <row r="47" spans="1:10" ht="25.5">
      <c r="A47" s="8">
        <v>43</v>
      </c>
      <c r="B47" s="45" t="s">
        <v>233</v>
      </c>
      <c r="C47" s="54" t="s">
        <v>73</v>
      </c>
      <c r="D47" s="11" t="s">
        <v>234</v>
      </c>
      <c r="E47" s="11" t="s">
        <v>30</v>
      </c>
      <c r="F47" s="12" t="s">
        <v>31</v>
      </c>
      <c r="G47" s="11" t="s">
        <v>172</v>
      </c>
      <c r="H47" s="11" t="s">
        <v>235</v>
      </c>
      <c r="I47" s="11" t="s">
        <v>235</v>
      </c>
      <c r="J47" s="57">
        <v>902</v>
      </c>
    </row>
    <row r="48" spans="1:10" ht="25.5">
      <c r="A48" s="8">
        <v>44</v>
      </c>
      <c r="B48" s="47" t="s">
        <v>238</v>
      </c>
      <c r="C48" s="54" t="s">
        <v>73</v>
      </c>
      <c r="D48" s="11" t="s">
        <v>239</v>
      </c>
      <c r="E48" s="11" t="s">
        <v>227</v>
      </c>
      <c r="F48" s="11" t="s">
        <v>228</v>
      </c>
      <c r="G48" s="11" t="s">
        <v>172</v>
      </c>
      <c r="H48" s="11" t="s">
        <v>240</v>
      </c>
      <c r="I48" s="11" t="s">
        <v>235</v>
      </c>
      <c r="J48" s="57">
        <v>4061</v>
      </c>
    </row>
    <row r="49" spans="1:10" ht="89.25">
      <c r="A49" s="8">
        <v>45</v>
      </c>
      <c r="B49" s="45" t="s">
        <v>242</v>
      </c>
      <c r="C49" s="54" t="s">
        <v>73</v>
      </c>
      <c r="D49" s="11" t="s">
        <v>243</v>
      </c>
      <c r="E49" s="11" t="s">
        <v>227</v>
      </c>
      <c r="F49" s="11" t="s">
        <v>228</v>
      </c>
      <c r="G49" s="11" t="s">
        <v>201</v>
      </c>
      <c r="H49" s="11" t="s">
        <v>244</v>
      </c>
      <c r="I49" s="11" t="s">
        <v>245</v>
      </c>
      <c r="J49" s="57">
        <v>5265.92</v>
      </c>
    </row>
    <row r="50" spans="1:10" ht="89.25">
      <c r="A50" s="8">
        <v>46</v>
      </c>
      <c r="B50" s="47" t="s">
        <v>249</v>
      </c>
      <c r="C50" s="54" t="s">
        <v>73</v>
      </c>
      <c r="D50" s="11" t="s">
        <v>250</v>
      </c>
      <c r="E50" s="11" t="s">
        <v>227</v>
      </c>
      <c r="F50" s="11" t="s">
        <v>228</v>
      </c>
      <c r="G50" s="11" t="s">
        <v>201</v>
      </c>
      <c r="H50" s="11" t="s">
        <v>251</v>
      </c>
      <c r="I50" s="11" t="s">
        <v>252</v>
      </c>
      <c r="J50" s="57">
        <v>5436.93</v>
      </c>
    </row>
    <row r="51" spans="1:10" ht="25.5">
      <c r="A51" s="8">
        <v>47</v>
      </c>
      <c r="B51" s="45" t="s">
        <v>254</v>
      </c>
      <c r="C51" s="54" t="s">
        <v>73</v>
      </c>
      <c r="D51" s="11" t="s">
        <v>255</v>
      </c>
      <c r="E51" s="11" t="s">
        <v>227</v>
      </c>
      <c r="F51" s="11" t="s">
        <v>228</v>
      </c>
      <c r="G51" s="11" t="s">
        <v>188</v>
      </c>
      <c r="H51" s="11" t="s">
        <v>256</v>
      </c>
      <c r="I51" s="11" t="s">
        <v>257</v>
      </c>
      <c r="J51" s="57">
        <v>683.19</v>
      </c>
    </row>
    <row r="52" spans="1:10" ht="25.5">
      <c r="A52" s="8">
        <v>48</v>
      </c>
      <c r="B52" s="47" t="s">
        <v>259</v>
      </c>
      <c r="C52" s="54" t="s">
        <v>73</v>
      </c>
      <c r="D52" s="11" t="s">
        <v>260</v>
      </c>
      <c r="E52" s="11" t="s">
        <v>227</v>
      </c>
      <c r="F52" s="11" t="s">
        <v>228</v>
      </c>
      <c r="G52" s="11" t="s">
        <v>188</v>
      </c>
      <c r="H52" s="11" t="s">
        <v>261</v>
      </c>
      <c r="I52" s="11" t="s">
        <v>262</v>
      </c>
      <c r="J52" s="57">
        <v>524.01</v>
      </c>
    </row>
    <row r="53" spans="1:10" ht="25.5">
      <c r="A53" s="8">
        <v>49</v>
      </c>
      <c r="B53" s="47" t="s">
        <v>264</v>
      </c>
      <c r="C53" s="54" t="s">
        <v>73</v>
      </c>
      <c r="D53" s="11" t="s">
        <v>265</v>
      </c>
      <c r="E53" s="11" t="s">
        <v>227</v>
      </c>
      <c r="F53" s="11" t="s">
        <v>228</v>
      </c>
      <c r="G53" s="10" t="s">
        <v>164</v>
      </c>
      <c r="H53" s="11" t="s">
        <v>165</v>
      </c>
      <c r="I53" s="11" t="s">
        <v>165</v>
      </c>
      <c r="J53" s="57">
        <v>1101.26</v>
      </c>
    </row>
    <row r="54" spans="1:10" ht="25.5">
      <c r="A54" s="8">
        <v>50</v>
      </c>
      <c r="B54" s="45" t="s">
        <v>268</v>
      </c>
      <c r="C54" s="54" t="s">
        <v>73</v>
      </c>
      <c r="D54" s="11" t="s">
        <v>269</v>
      </c>
      <c r="E54" s="11" t="s">
        <v>227</v>
      </c>
      <c r="F54" s="11" t="s">
        <v>228</v>
      </c>
      <c r="G54" s="11" t="s">
        <v>188</v>
      </c>
      <c r="H54" s="11" t="s">
        <v>270</v>
      </c>
      <c r="I54" s="11" t="s">
        <v>190</v>
      </c>
      <c r="J54" s="57">
        <v>48.18</v>
      </c>
    </row>
    <row r="55" spans="1:10" ht="25.5">
      <c r="A55" s="8">
        <v>51</v>
      </c>
      <c r="B55" s="47" t="s">
        <v>272</v>
      </c>
      <c r="C55" s="54" t="s">
        <v>73</v>
      </c>
      <c r="D55" s="11" t="s">
        <v>273</v>
      </c>
      <c r="E55" s="11" t="s">
        <v>227</v>
      </c>
      <c r="F55" s="11" t="s">
        <v>228</v>
      </c>
      <c r="G55" s="10" t="s">
        <v>164</v>
      </c>
      <c r="H55" s="11" t="s">
        <v>274</v>
      </c>
      <c r="I55" s="11" t="s">
        <v>165</v>
      </c>
      <c r="J55" s="57">
        <v>934.52</v>
      </c>
    </row>
    <row r="56" spans="1:10" ht="25.5">
      <c r="A56" s="8">
        <v>52</v>
      </c>
      <c r="B56" s="45" t="s">
        <v>281</v>
      </c>
      <c r="C56" s="54" t="s">
        <v>73</v>
      </c>
      <c r="D56" s="11" t="s">
        <v>282</v>
      </c>
      <c r="E56" s="11" t="s">
        <v>227</v>
      </c>
      <c r="F56" s="11" t="s">
        <v>228</v>
      </c>
      <c r="G56" s="11" t="s">
        <v>188</v>
      </c>
      <c r="H56" s="11" t="s">
        <v>283</v>
      </c>
      <c r="I56" s="11" t="s">
        <v>262</v>
      </c>
      <c r="J56" s="57">
        <v>467.16</v>
      </c>
    </row>
    <row r="57" spans="1:10" ht="25.5">
      <c r="A57" s="8">
        <v>53</v>
      </c>
      <c r="B57" s="45" t="s">
        <v>285</v>
      </c>
      <c r="C57" s="54" t="s">
        <v>73</v>
      </c>
      <c r="D57" s="11" t="s">
        <v>286</v>
      </c>
      <c r="E57" s="11" t="s">
        <v>227</v>
      </c>
      <c r="F57" s="11" t="s">
        <v>228</v>
      </c>
      <c r="G57" s="11" t="s">
        <v>188</v>
      </c>
      <c r="H57" s="11" t="s">
        <v>287</v>
      </c>
      <c r="I57" s="11" t="s">
        <v>190</v>
      </c>
      <c r="J57" s="57">
        <v>255.69</v>
      </c>
    </row>
    <row r="58" spans="1:10" ht="25.5">
      <c r="A58" s="8">
        <v>54</v>
      </c>
      <c r="B58" s="47" t="s">
        <v>289</v>
      </c>
      <c r="C58" s="54" t="s">
        <v>73</v>
      </c>
      <c r="D58" s="11" t="s">
        <v>290</v>
      </c>
      <c r="E58" s="11" t="s">
        <v>227</v>
      </c>
      <c r="F58" s="11" t="s">
        <v>228</v>
      </c>
      <c r="G58" s="11" t="s">
        <v>188</v>
      </c>
      <c r="H58" s="11" t="s">
        <v>262</v>
      </c>
      <c r="I58" s="11" t="s">
        <v>262</v>
      </c>
      <c r="J58" s="57">
        <v>24.13</v>
      </c>
    </row>
    <row r="59" spans="1:10" ht="51">
      <c r="A59" s="8">
        <v>55</v>
      </c>
      <c r="B59" s="45" t="s">
        <v>292</v>
      </c>
      <c r="C59" s="54" t="s">
        <v>73</v>
      </c>
      <c r="D59" s="11" t="s">
        <v>293</v>
      </c>
      <c r="E59" s="11" t="s">
        <v>227</v>
      </c>
      <c r="F59" s="11" t="s">
        <v>228</v>
      </c>
      <c r="G59" s="11" t="s">
        <v>201</v>
      </c>
      <c r="H59" s="11" t="s">
        <v>294</v>
      </c>
      <c r="I59" s="11" t="s">
        <v>295</v>
      </c>
      <c r="J59" s="57">
        <v>6698.44</v>
      </c>
    </row>
    <row r="60" spans="1:10" ht="51">
      <c r="A60" s="8">
        <v>56</v>
      </c>
      <c r="B60" s="47" t="s">
        <v>296</v>
      </c>
      <c r="C60" s="54" t="s">
        <v>73</v>
      </c>
      <c r="D60" s="11" t="s">
        <v>297</v>
      </c>
      <c r="E60" s="11" t="s">
        <v>227</v>
      </c>
      <c r="F60" s="11" t="s">
        <v>228</v>
      </c>
      <c r="G60" s="11" t="s">
        <v>188</v>
      </c>
      <c r="H60" s="11" t="s">
        <v>298</v>
      </c>
      <c r="I60" s="11" t="s">
        <v>262</v>
      </c>
      <c r="J60" s="57">
        <v>583.72</v>
      </c>
    </row>
    <row r="61" spans="1:10" ht="25.5">
      <c r="A61" s="8">
        <v>57</v>
      </c>
      <c r="B61" s="45" t="s">
        <v>300</v>
      </c>
      <c r="C61" s="54" t="s">
        <v>73</v>
      </c>
      <c r="D61" s="11" t="s">
        <v>301</v>
      </c>
      <c r="E61" s="11" t="s">
        <v>227</v>
      </c>
      <c r="F61" s="11" t="s">
        <v>228</v>
      </c>
      <c r="G61" s="11" t="s">
        <v>188</v>
      </c>
      <c r="H61" s="11" t="s">
        <v>257</v>
      </c>
      <c r="I61" s="11" t="s">
        <v>257</v>
      </c>
      <c r="J61" s="57">
        <v>1074.0899999999999</v>
      </c>
    </row>
    <row r="62" spans="1:10" ht="25.5">
      <c r="A62" s="8">
        <v>58</v>
      </c>
      <c r="B62" s="47" t="s">
        <v>303</v>
      </c>
      <c r="C62" s="54" t="s">
        <v>73</v>
      </c>
      <c r="D62" s="11" t="s">
        <v>304</v>
      </c>
      <c r="E62" s="11" t="s">
        <v>227</v>
      </c>
      <c r="F62" s="11" t="s">
        <v>228</v>
      </c>
      <c r="G62" s="11" t="s">
        <v>188</v>
      </c>
      <c r="H62" s="11" t="s">
        <v>305</v>
      </c>
      <c r="I62" s="11" t="s">
        <v>190</v>
      </c>
      <c r="J62" s="57">
        <v>918.46</v>
      </c>
    </row>
    <row r="63" spans="1:10" ht="51">
      <c r="A63" s="8">
        <v>59</v>
      </c>
      <c r="B63" s="45" t="s">
        <v>307</v>
      </c>
      <c r="C63" s="54" t="s">
        <v>73</v>
      </c>
      <c r="D63" s="11" t="s">
        <v>308</v>
      </c>
      <c r="E63" s="11" t="s">
        <v>227</v>
      </c>
      <c r="F63" s="11" t="s">
        <v>228</v>
      </c>
      <c r="G63" s="10" t="s">
        <v>164</v>
      </c>
      <c r="H63" s="11" t="s">
        <v>309</v>
      </c>
      <c r="I63" s="11" t="s">
        <v>165</v>
      </c>
      <c r="J63" s="57">
        <v>3684.42</v>
      </c>
    </row>
    <row r="64" spans="1:10" ht="25.5">
      <c r="A64" s="8">
        <v>60</v>
      </c>
      <c r="B64" s="47" t="s">
        <v>311</v>
      </c>
      <c r="C64" s="54" t="s">
        <v>73</v>
      </c>
      <c r="D64" s="11" t="s">
        <v>312</v>
      </c>
      <c r="E64" s="11" t="s">
        <v>227</v>
      </c>
      <c r="F64" s="11" t="s">
        <v>228</v>
      </c>
      <c r="G64" s="11" t="s">
        <v>188</v>
      </c>
      <c r="H64" s="11" t="s">
        <v>313</v>
      </c>
      <c r="I64" s="11" t="s">
        <v>262</v>
      </c>
      <c r="J64" s="57">
        <v>163.6</v>
      </c>
    </row>
    <row r="65" spans="1:10" ht="25.5">
      <c r="A65" s="8">
        <v>61</v>
      </c>
      <c r="B65" s="47" t="s">
        <v>315</v>
      </c>
      <c r="C65" s="54" t="s">
        <v>73</v>
      </c>
      <c r="D65" s="11" t="s">
        <v>316</v>
      </c>
      <c r="E65" s="11" t="s">
        <v>227</v>
      </c>
      <c r="F65" s="11" t="s">
        <v>228</v>
      </c>
      <c r="G65" s="11" t="s">
        <v>188</v>
      </c>
      <c r="H65" s="11" t="s">
        <v>317</v>
      </c>
      <c r="I65" s="11" t="s">
        <v>262</v>
      </c>
      <c r="J65" s="57">
        <v>402.59</v>
      </c>
    </row>
    <row r="66" spans="1:10" ht="25.5">
      <c r="A66" s="8">
        <v>62</v>
      </c>
      <c r="B66" s="45" t="s">
        <v>327</v>
      </c>
      <c r="C66" s="54" t="s">
        <v>73</v>
      </c>
      <c r="D66" s="11" t="s">
        <v>328</v>
      </c>
      <c r="E66" s="11" t="s">
        <v>227</v>
      </c>
      <c r="F66" s="11" t="s">
        <v>228</v>
      </c>
      <c r="G66" s="11" t="s">
        <v>201</v>
      </c>
      <c r="H66" s="11" t="s">
        <v>329</v>
      </c>
      <c r="I66" s="11" t="s">
        <v>203</v>
      </c>
      <c r="J66" s="58">
        <v>1172.0999999999999</v>
      </c>
    </row>
    <row r="67" spans="1:10" ht="25.5">
      <c r="A67" s="8">
        <v>63</v>
      </c>
      <c r="B67" s="45" t="s">
        <v>330</v>
      </c>
      <c r="C67" s="54" t="s">
        <v>73</v>
      </c>
      <c r="D67" s="11" t="s">
        <v>331</v>
      </c>
      <c r="E67" s="11" t="s">
        <v>227</v>
      </c>
      <c r="F67" s="11" t="s">
        <v>228</v>
      </c>
      <c r="G67" s="10" t="s">
        <v>164</v>
      </c>
      <c r="H67" s="11" t="s">
        <v>165</v>
      </c>
      <c r="I67" s="11" t="s">
        <v>165</v>
      </c>
      <c r="J67" s="57">
        <v>3149.72</v>
      </c>
    </row>
    <row r="68" spans="1:10" ht="25.5">
      <c r="A68" s="8">
        <v>64</v>
      </c>
      <c r="B68" s="47" t="s">
        <v>333</v>
      </c>
      <c r="C68" s="54" t="s">
        <v>73</v>
      </c>
      <c r="D68" s="11" t="s">
        <v>334</v>
      </c>
      <c r="E68" s="11" t="s">
        <v>227</v>
      </c>
      <c r="F68" s="11" t="s">
        <v>228</v>
      </c>
      <c r="G68" s="10" t="s">
        <v>164</v>
      </c>
      <c r="H68" s="62" t="s">
        <v>165</v>
      </c>
      <c r="I68" s="11" t="s">
        <v>165</v>
      </c>
      <c r="J68" s="57">
        <v>1566.73</v>
      </c>
    </row>
    <row r="69" spans="1:10" ht="51">
      <c r="A69" s="8">
        <v>65</v>
      </c>
      <c r="B69" s="45" t="s">
        <v>336</v>
      </c>
      <c r="C69" s="54" t="s">
        <v>73</v>
      </c>
      <c r="D69" s="11" t="s">
        <v>337</v>
      </c>
      <c r="E69" s="11" t="s">
        <v>227</v>
      </c>
      <c r="F69" s="11" t="s">
        <v>228</v>
      </c>
      <c r="G69" s="10" t="s">
        <v>164</v>
      </c>
      <c r="H69" s="11" t="s">
        <v>338</v>
      </c>
      <c r="I69" s="11" t="s">
        <v>339</v>
      </c>
      <c r="J69" s="57">
        <v>5702.13</v>
      </c>
    </row>
    <row r="70" spans="1:10" ht="84">
      <c r="A70" s="8">
        <v>66</v>
      </c>
      <c r="B70" s="47" t="s">
        <v>341</v>
      </c>
      <c r="C70" s="54" t="s">
        <v>73</v>
      </c>
      <c r="D70" s="11" t="s">
        <v>342</v>
      </c>
      <c r="E70" s="11" t="s">
        <v>227</v>
      </c>
      <c r="F70" s="11" t="s">
        <v>228</v>
      </c>
      <c r="G70" s="10" t="s">
        <v>164</v>
      </c>
      <c r="H70" s="63" t="s">
        <v>343</v>
      </c>
      <c r="I70" s="11" t="s">
        <v>165</v>
      </c>
      <c r="J70" s="57">
        <v>5266.2</v>
      </c>
    </row>
    <row r="71" spans="1:10" ht="25.5">
      <c r="A71" s="8">
        <v>67</v>
      </c>
      <c r="B71" s="45" t="s">
        <v>345</v>
      </c>
      <c r="C71" s="54" t="s">
        <v>73</v>
      </c>
      <c r="D71" s="11" t="s">
        <v>346</v>
      </c>
      <c r="E71" s="11" t="s">
        <v>227</v>
      </c>
      <c r="F71" s="11" t="s">
        <v>228</v>
      </c>
      <c r="G71" s="10" t="s">
        <v>164</v>
      </c>
      <c r="H71" s="11" t="s">
        <v>347</v>
      </c>
      <c r="I71" s="11" t="s">
        <v>348</v>
      </c>
      <c r="J71" s="57">
        <v>2871.12</v>
      </c>
    </row>
    <row r="72" spans="1:10" ht="38.25">
      <c r="A72" s="8">
        <v>68</v>
      </c>
      <c r="B72" s="47" t="s">
        <v>350</v>
      </c>
      <c r="C72" s="54" t="s">
        <v>73</v>
      </c>
      <c r="D72" s="11" t="s">
        <v>351</v>
      </c>
      <c r="E72" s="11" t="s">
        <v>227</v>
      </c>
      <c r="F72" s="11" t="s">
        <v>228</v>
      </c>
      <c r="G72" s="11" t="s">
        <v>188</v>
      </c>
      <c r="H72" s="11" t="s">
        <v>352</v>
      </c>
      <c r="I72" s="11" t="s">
        <v>353</v>
      </c>
      <c r="J72" s="57">
        <v>850.96</v>
      </c>
    </row>
    <row r="73" spans="1:10" ht="63.75">
      <c r="A73" s="8">
        <v>69</v>
      </c>
      <c r="B73" s="45" t="s">
        <v>355</v>
      </c>
      <c r="C73" s="54" t="s">
        <v>73</v>
      </c>
      <c r="D73" s="11" t="s">
        <v>356</v>
      </c>
      <c r="E73" s="11" t="s">
        <v>227</v>
      </c>
      <c r="F73" s="11" t="s">
        <v>228</v>
      </c>
      <c r="G73" s="10" t="s">
        <v>164</v>
      </c>
      <c r="H73" s="11" t="s">
        <v>357</v>
      </c>
      <c r="I73" s="11" t="s">
        <v>348</v>
      </c>
      <c r="J73" s="57">
        <v>11569.56</v>
      </c>
    </row>
    <row r="74" spans="1:10" ht="51">
      <c r="A74" s="8">
        <v>70</v>
      </c>
      <c r="B74" s="47" t="s">
        <v>359</v>
      </c>
      <c r="C74" s="54" t="s">
        <v>73</v>
      </c>
      <c r="D74" s="11" t="s">
        <v>360</v>
      </c>
      <c r="E74" s="11" t="s">
        <v>227</v>
      </c>
      <c r="F74" s="11" t="s">
        <v>228</v>
      </c>
      <c r="G74" s="11" t="s">
        <v>188</v>
      </c>
      <c r="H74" s="11" t="s">
        <v>361</v>
      </c>
      <c r="I74" s="11" t="s">
        <v>190</v>
      </c>
      <c r="J74" s="57">
        <v>908.03</v>
      </c>
    </row>
    <row r="75" spans="1:10" ht="25.5">
      <c r="A75" s="8">
        <v>71</v>
      </c>
      <c r="B75" s="45" t="s">
        <v>363</v>
      </c>
      <c r="C75" s="54" t="s">
        <v>73</v>
      </c>
      <c r="D75" s="11" t="s">
        <v>364</v>
      </c>
      <c r="E75" s="11" t="s">
        <v>227</v>
      </c>
      <c r="F75" s="11" t="s">
        <v>228</v>
      </c>
      <c r="G75" s="11" t="s">
        <v>188</v>
      </c>
      <c r="H75" s="11" t="s">
        <v>365</v>
      </c>
      <c r="I75" s="11" t="s">
        <v>257</v>
      </c>
      <c r="J75" s="57">
        <v>289.24</v>
      </c>
    </row>
    <row r="76" spans="1:10" ht="51">
      <c r="A76" s="8">
        <v>72</v>
      </c>
      <c r="B76" s="45" t="s">
        <v>367</v>
      </c>
      <c r="C76" s="54" t="s">
        <v>73</v>
      </c>
      <c r="D76" s="11" t="s">
        <v>368</v>
      </c>
      <c r="E76" s="11" t="s">
        <v>227</v>
      </c>
      <c r="F76" s="11" t="s">
        <v>228</v>
      </c>
      <c r="G76" s="10" t="s">
        <v>164</v>
      </c>
      <c r="H76" s="11" t="s">
        <v>369</v>
      </c>
      <c r="I76" s="11" t="s">
        <v>370</v>
      </c>
      <c r="J76" s="57">
        <v>5201.3100000000004</v>
      </c>
    </row>
    <row r="77" spans="1:10" ht="25.5">
      <c r="A77" s="8">
        <v>73</v>
      </c>
      <c r="B77" s="45" t="s">
        <v>379</v>
      </c>
      <c r="C77" s="54" t="s">
        <v>73</v>
      </c>
      <c r="D77" s="11" t="s">
        <v>380</v>
      </c>
      <c r="E77" s="14" t="s">
        <v>30</v>
      </c>
      <c r="F77" s="12" t="s">
        <v>31</v>
      </c>
      <c r="G77" s="11" t="s">
        <v>321</v>
      </c>
      <c r="H77" s="11" t="s">
        <v>381</v>
      </c>
      <c r="I77" s="11" t="s">
        <v>382</v>
      </c>
      <c r="J77" s="57">
        <v>2000</v>
      </c>
    </row>
    <row r="78" spans="1:10" ht="25.5">
      <c r="A78" s="8">
        <v>74</v>
      </c>
      <c r="B78" s="45" t="s">
        <v>386</v>
      </c>
      <c r="C78" s="54" t="s">
        <v>73</v>
      </c>
      <c r="D78" s="11" t="s">
        <v>387</v>
      </c>
      <c r="E78" s="11" t="s">
        <v>30</v>
      </c>
      <c r="F78" s="12" t="s">
        <v>31</v>
      </c>
      <c r="G78" s="11" t="s">
        <v>210</v>
      </c>
      <c r="H78" s="11" t="s">
        <v>388</v>
      </c>
      <c r="I78" s="11" t="s">
        <v>212</v>
      </c>
      <c r="J78" s="57">
        <v>8</v>
      </c>
    </row>
    <row r="79" spans="1:10" ht="63.75">
      <c r="A79" s="8">
        <v>75</v>
      </c>
      <c r="B79" s="47" t="s">
        <v>505</v>
      </c>
      <c r="C79" s="54" t="s">
        <v>73</v>
      </c>
      <c r="D79" s="11" t="s">
        <v>506</v>
      </c>
      <c r="E79" s="11" t="s">
        <v>507</v>
      </c>
      <c r="F79" s="12" t="s">
        <v>127</v>
      </c>
      <c r="G79" s="11" t="s">
        <v>201</v>
      </c>
      <c r="H79" s="11" t="s">
        <v>508</v>
      </c>
      <c r="I79" s="11" t="s">
        <v>509</v>
      </c>
      <c r="J79" s="57">
        <v>5372</v>
      </c>
    </row>
    <row r="80" spans="1:10" ht="25.5">
      <c r="A80" s="8">
        <v>76</v>
      </c>
      <c r="B80" s="45" t="s">
        <v>533</v>
      </c>
      <c r="C80" s="54" t="s">
        <v>73</v>
      </c>
      <c r="D80" s="11" t="s">
        <v>534</v>
      </c>
      <c r="E80" s="11" t="s">
        <v>105</v>
      </c>
      <c r="F80" s="12" t="s">
        <v>106</v>
      </c>
      <c r="G80" s="10" t="s">
        <v>535</v>
      </c>
      <c r="H80" s="11" t="s">
        <v>536</v>
      </c>
      <c r="I80" s="11" t="s">
        <v>537</v>
      </c>
      <c r="J80" s="57">
        <v>45000</v>
      </c>
    </row>
    <row r="81" spans="1:10" ht="38.25">
      <c r="A81" s="8">
        <v>77</v>
      </c>
      <c r="B81" s="45" t="s">
        <v>574</v>
      </c>
      <c r="C81" s="54" t="s">
        <v>73</v>
      </c>
      <c r="D81" s="11" t="s">
        <v>575</v>
      </c>
      <c r="E81" s="11" t="s">
        <v>576</v>
      </c>
      <c r="F81" s="64" t="s">
        <v>497</v>
      </c>
      <c r="G81" s="11" t="s">
        <v>188</v>
      </c>
      <c r="H81" s="65" t="s">
        <v>577</v>
      </c>
      <c r="I81" s="11" t="s">
        <v>262</v>
      </c>
      <c r="J81" s="57">
        <v>2673</v>
      </c>
    </row>
    <row r="82" spans="1:10" ht="25.5">
      <c r="A82" s="8">
        <v>78</v>
      </c>
      <c r="B82" s="45" t="s">
        <v>824</v>
      </c>
      <c r="C82" s="66" t="s">
        <v>73</v>
      </c>
      <c r="D82" s="67" t="s">
        <v>2693</v>
      </c>
      <c r="E82" s="10" t="s">
        <v>403</v>
      </c>
      <c r="F82" s="12" t="s">
        <v>127</v>
      </c>
      <c r="G82" s="67" t="s">
        <v>210</v>
      </c>
      <c r="H82" s="11" t="s">
        <v>211</v>
      </c>
      <c r="I82" s="10" t="s">
        <v>212</v>
      </c>
      <c r="J82" s="57">
        <v>35202</v>
      </c>
    </row>
    <row r="83" spans="1:10" ht="25.5">
      <c r="A83" s="8">
        <v>79</v>
      </c>
      <c r="B83" s="47" t="s">
        <v>830</v>
      </c>
      <c r="C83" s="66" t="s">
        <v>73</v>
      </c>
      <c r="D83" s="10" t="s">
        <v>2694</v>
      </c>
      <c r="E83" s="10" t="s">
        <v>126</v>
      </c>
      <c r="F83" s="12" t="s">
        <v>127</v>
      </c>
      <c r="G83" s="67" t="s">
        <v>210</v>
      </c>
      <c r="H83" s="11" t="s">
        <v>229</v>
      </c>
      <c r="I83" s="10" t="s">
        <v>832</v>
      </c>
      <c r="J83" s="59">
        <v>151878.45000000001</v>
      </c>
    </row>
    <row r="84" spans="1:10" ht="25.5">
      <c r="A84" s="8">
        <v>80</v>
      </c>
      <c r="B84" s="45" t="s">
        <v>838</v>
      </c>
      <c r="C84" s="54" t="s">
        <v>73</v>
      </c>
      <c r="D84" s="10" t="s">
        <v>839</v>
      </c>
      <c r="E84" s="68" t="s">
        <v>840</v>
      </c>
      <c r="F84" s="12" t="s">
        <v>49</v>
      </c>
      <c r="G84" s="67" t="s">
        <v>180</v>
      </c>
      <c r="H84" s="11" t="s">
        <v>181</v>
      </c>
      <c r="I84" s="10" t="s">
        <v>182</v>
      </c>
      <c r="J84" s="72">
        <v>1837.55</v>
      </c>
    </row>
    <row r="85" spans="1:10" ht="25.5">
      <c r="A85" s="8">
        <v>81</v>
      </c>
      <c r="B85" s="69" t="s">
        <v>1585</v>
      </c>
      <c r="C85" s="54" t="s">
        <v>73</v>
      </c>
      <c r="D85" s="10" t="s">
        <v>1586</v>
      </c>
      <c r="E85" s="11" t="s">
        <v>1587</v>
      </c>
      <c r="F85" s="12" t="s">
        <v>127</v>
      </c>
      <c r="G85" s="10" t="s">
        <v>210</v>
      </c>
      <c r="H85" s="11" t="s">
        <v>388</v>
      </c>
      <c r="I85" s="10" t="s">
        <v>212</v>
      </c>
      <c r="J85" s="57">
        <v>19013.439999999999</v>
      </c>
    </row>
    <row r="86" spans="1:10" ht="25.5">
      <c r="A86" s="15">
        <v>82</v>
      </c>
      <c r="B86" s="70" t="s">
        <v>1650</v>
      </c>
      <c r="C86" s="71" t="s">
        <v>73</v>
      </c>
      <c r="D86" s="17" t="s">
        <v>1651</v>
      </c>
      <c r="E86" s="17" t="s">
        <v>1652</v>
      </c>
      <c r="F86" s="17" t="s">
        <v>127</v>
      </c>
      <c r="G86" s="17" t="s">
        <v>188</v>
      </c>
      <c r="H86" s="17" t="s">
        <v>1099</v>
      </c>
      <c r="I86" s="19" t="s">
        <v>190</v>
      </c>
      <c r="J86" s="73">
        <v>7231.66</v>
      </c>
    </row>
  </sheetData>
  <mergeCells count="1">
    <mergeCell ref="A2:J2"/>
  </mergeCells>
  <pageMargins left="0.70763888888888904" right="0.70763888888888904" top="0.74791666666666701" bottom="0.74791666666666701" header="0.31388888888888899" footer="0.31388888888888899"/>
  <pageSetup scale="90"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48"/>
  <sheetViews>
    <sheetView topLeftCell="A40" workbookViewId="0">
      <selection activeCell="G41" sqref="G41"/>
    </sheetView>
  </sheetViews>
  <sheetFormatPr baseColWidth="10" defaultColWidth="9" defaultRowHeight="15"/>
  <cols>
    <col min="1" max="1" width="13.140625" customWidth="1"/>
    <col min="2" max="2" width="12.140625" style="362" customWidth="1"/>
    <col min="3" max="3" width="34.140625" customWidth="1"/>
    <col min="4" max="4" width="14.42578125" customWidth="1"/>
    <col min="5" max="5" width="14.5703125" customWidth="1"/>
  </cols>
  <sheetData>
    <row r="1" spans="1:9" ht="18.75">
      <c r="A1" s="1108" t="s">
        <v>1916</v>
      </c>
      <c r="B1" s="1108"/>
      <c r="C1" s="1108"/>
      <c r="D1" s="1108"/>
      <c r="E1" s="1108"/>
    </row>
    <row r="3" spans="1:9" s="822" customFormat="1" ht="31.5">
      <c r="A3" s="508" t="s">
        <v>1917</v>
      </c>
      <c r="B3" s="823" t="s">
        <v>1918</v>
      </c>
      <c r="C3" s="508" t="s">
        <v>1919</v>
      </c>
      <c r="D3" s="508" t="s">
        <v>1920</v>
      </c>
      <c r="E3" s="824" t="s">
        <v>1921</v>
      </c>
    </row>
    <row r="4" spans="1:9" s="822" customFormat="1" ht="30">
      <c r="A4" s="825">
        <v>3440260.13</v>
      </c>
      <c r="B4" s="826">
        <v>59.64</v>
      </c>
      <c r="C4" s="93" t="s">
        <v>1922</v>
      </c>
      <c r="D4" s="825">
        <f>SUM(A4+B4)</f>
        <v>3440319.77</v>
      </c>
      <c r="E4" s="827"/>
    </row>
    <row r="5" spans="1:9" ht="30">
      <c r="A5" s="825">
        <f t="shared" ref="A5:A10" si="0">D4</f>
        <v>3440319.77</v>
      </c>
      <c r="B5" s="826">
        <v>22.6</v>
      </c>
      <c r="C5" s="93" t="s">
        <v>1923</v>
      </c>
      <c r="D5" s="825">
        <f>SUM(A5+B5)</f>
        <v>3440342.37</v>
      </c>
      <c r="E5" s="828">
        <v>2015</v>
      </c>
    </row>
    <row r="6" spans="1:9" ht="45">
      <c r="A6" s="825">
        <f t="shared" si="0"/>
        <v>3440342.37</v>
      </c>
      <c r="B6" s="826">
        <v>45.3</v>
      </c>
      <c r="C6" s="93" t="s">
        <v>1924</v>
      </c>
      <c r="D6" s="825">
        <f t="shared" ref="D6:D10" si="1">A6+B6</f>
        <v>3440387.67</v>
      </c>
      <c r="E6" s="828">
        <v>2015</v>
      </c>
    </row>
    <row r="7" spans="1:9" ht="30">
      <c r="A7" s="825">
        <f t="shared" si="0"/>
        <v>3440387.67</v>
      </c>
      <c r="B7" s="826">
        <v>18.850000000000001</v>
      </c>
      <c r="C7" s="93" t="s">
        <v>1925</v>
      </c>
      <c r="D7" s="829">
        <f t="shared" si="1"/>
        <v>3440406.52</v>
      </c>
      <c r="E7" s="830">
        <v>42186</v>
      </c>
    </row>
    <row r="8" spans="1:9" ht="30">
      <c r="A8" s="831">
        <f t="shared" si="0"/>
        <v>3440406.52</v>
      </c>
      <c r="B8" s="832">
        <v>30.795000000000002</v>
      </c>
      <c r="C8" s="93" t="s">
        <v>1926</v>
      </c>
      <c r="D8" s="825">
        <f t="shared" si="1"/>
        <v>3440437.3149999999</v>
      </c>
      <c r="E8" s="833">
        <v>42248</v>
      </c>
    </row>
    <row r="9" spans="1:9" ht="45">
      <c r="A9" s="831">
        <f t="shared" si="0"/>
        <v>3440437.3149999999</v>
      </c>
      <c r="B9" s="834">
        <v>21.91</v>
      </c>
      <c r="C9" s="93" t="s">
        <v>1927</v>
      </c>
      <c r="D9" s="825">
        <f t="shared" si="1"/>
        <v>3440459.2250000001</v>
      </c>
      <c r="E9" s="833">
        <v>42278</v>
      </c>
    </row>
    <row r="10" spans="1:9" ht="30">
      <c r="A10" s="825">
        <f t="shared" si="0"/>
        <v>3440459.2250000001</v>
      </c>
      <c r="B10" s="834">
        <v>7231.66</v>
      </c>
      <c r="C10" s="93" t="s">
        <v>1928</v>
      </c>
      <c r="D10" s="825">
        <f t="shared" si="1"/>
        <v>3447690.8850000002</v>
      </c>
      <c r="E10" s="833">
        <v>42457</v>
      </c>
    </row>
    <row r="11" spans="1:9" ht="43.5" customHeight="1">
      <c r="A11" s="825">
        <f t="shared" ref="A11:A16" si="2">D10</f>
        <v>3447690.8850000002</v>
      </c>
      <c r="B11" s="835">
        <v>155.37</v>
      </c>
      <c r="C11" s="93" t="s">
        <v>1929</v>
      </c>
      <c r="D11" s="825">
        <f t="shared" ref="D11:D14" si="3">A11-B11</f>
        <v>3447535.5150000001</v>
      </c>
      <c r="E11" s="833">
        <v>42466</v>
      </c>
    </row>
    <row r="12" spans="1:9" ht="61.5" customHeight="1">
      <c r="A12" s="825">
        <f t="shared" si="2"/>
        <v>3447535.5150000001</v>
      </c>
      <c r="B12" s="835">
        <v>74.2</v>
      </c>
      <c r="C12" s="93" t="s">
        <v>1930</v>
      </c>
      <c r="D12" s="825">
        <f t="shared" si="3"/>
        <v>3447461.3149999999</v>
      </c>
      <c r="E12" s="836" t="s">
        <v>1931</v>
      </c>
    </row>
    <row r="13" spans="1:9" ht="45">
      <c r="A13" s="825">
        <f t="shared" si="2"/>
        <v>3447461.3149999999</v>
      </c>
      <c r="B13" s="834">
        <v>24557.4</v>
      </c>
      <c r="C13" s="93" t="s">
        <v>1932</v>
      </c>
      <c r="D13" s="825">
        <f t="shared" ref="D13:D19" si="4">A13+B13</f>
        <v>3472018.7149999999</v>
      </c>
      <c r="E13" s="836">
        <v>42583</v>
      </c>
    </row>
    <row r="14" spans="1:9" ht="75">
      <c r="A14" s="831">
        <f t="shared" si="2"/>
        <v>3472018.7149999999</v>
      </c>
      <c r="B14" s="837">
        <f>1+688.74</f>
        <v>689.74</v>
      </c>
      <c r="C14" s="93" t="s">
        <v>1933</v>
      </c>
      <c r="D14" s="825">
        <f t="shared" si="3"/>
        <v>3471328.9749999996</v>
      </c>
      <c r="E14" s="836" t="s">
        <v>1934</v>
      </c>
    </row>
    <row r="15" spans="1:9" ht="30">
      <c r="A15" s="831">
        <f t="shared" si="2"/>
        <v>3471328.9749999996</v>
      </c>
      <c r="B15" s="838">
        <f>5.5+87.36+11.298</f>
        <v>104.158</v>
      </c>
      <c r="C15" s="93" t="s">
        <v>1935</v>
      </c>
      <c r="D15" s="825">
        <f t="shared" si="4"/>
        <v>3471433.1329999994</v>
      </c>
      <c r="E15" s="836" t="s">
        <v>1934</v>
      </c>
    </row>
    <row r="16" spans="1:9" ht="45">
      <c r="A16" s="831">
        <f t="shared" si="2"/>
        <v>3471433.1329999994</v>
      </c>
      <c r="B16" s="837">
        <v>629.41869999999994</v>
      </c>
      <c r="C16" s="93" t="s">
        <v>1936</v>
      </c>
      <c r="D16" s="825">
        <f t="shared" ref="D16:D20" si="5">A16-B16</f>
        <v>3470803.7142999996</v>
      </c>
      <c r="E16" s="836" t="s">
        <v>1937</v>
      </c>
      <c r="G16" s="839">
        <f>B10+B13+B15</f>
        <v>31893.218000000001</v>
      </c>
      <c r="H16" s="840" t="s">
        <v>1938</v>
      </c>
      <c r="I16" s="866"/>
    </row>
    <row r="17" spans="1:8" ht="105">
      <c r="A17" s="831">
        <f t="shared" ref="A17:A22" si="6">D16</f>
        <v>3470803.7142999996</v>
      </c>
      <c r="B17" s="837">
        <v>54.29</v>
      </c>
      <c r="C17" s="93" t="s">
        <v>1939</v>
      </c>
      <c r="D17" s="825">
        <f t="shared" si="5"/>
        <v>3470749.4242999996</v>
      </c>
      <c r="E17" s="841" t="s">
        <v>1940</v>
      </c>
    </row>
    <row r="18" spans="1:8" ht="75">
      <c r="A18" s="825">
        <f t="shared" si="6"/>
        <v>3470749.4242999996</v>
      </c>
      <c r="B18" s="834">
        <v>0.45</v>
      </c>
      <c r="C18" s="93" t="s">
        <v>1941</v>
      </c>
      <c r="D18" s="825">
        <f t="shared" si="4"/>
        <v>3470749.8742999998</v>
      </c>
      <c r="E18" s="841" t="s">
        <v>1942</v>
      </c>
      <c r="H18" t="s">
        <v>1943</v>
      </c>
    </row>
    <row r="19" spans="1:8" ht="270">
      <c r="A19" s="825">
        <f t="shared" si="6"/>
        <v>3470749.8742999998</v>
      </c>
      <c r="B19" s="834">
        <v>123.55</v>
      </c>
      <c r="C19" s="93" t="s">
        <v>1944</v>
      </c>
      <c r="D19" s="825">
        <f t="shared" si="4"/>
        <v>3470873.4242999996</v>
      </c>
      <c r="E19" s="841" t="s">
        <v>1945</v>
      </c>
    </row>
    <row r="20" spans="1:8" ht="90">
      <c r="A20" s="825">
        <f t="shared" si="6"/>
        <v>3470873.4242999996</v>
      </c>
      <c r="B20" s="835">
        <v>239.52</v>
      </c>
      <c r="C20" s="93" t="s">
        <v>1946</v>
      </c>
      <c r="D20" s="825">
        <f t="shared" si="5"/>
        <v>3470633.9042999996</v>
      </c>
      <c r="E20" s="841" t="s">
        <v>1947</v>
      </c>
    </row>
    <row r="21" spans="1:8" ht="75">
      <c r="A21" s="825">
        <f t="shared" si="6"/>
        <v>3470633.9042999996</v>
      </c>
      <c r="B21" s="834">
        <v>0.21</v>
      </c>
      <c r="C21" s="93" t="s">
        <v>1948</v>
      </c>
      <c r="D21" s="825">
        <f t="shared" ref="D21:D26" si="7">A21+B21</f>
        <v>3470634.1142999995</v>
      </c>
      <c r="E21" s="841" t="s">
        <v>1947</v>
      </c>
    </row>
    <row r="22" spans="1:8" ht="135">
      <c r="A22" s="825">
        <f t="shared" si="6"/>
        <v>3470634.1142999995</v>
      </c>
      <c r="B22" s="835">
        <v>46.02</v>
      </c>
      <c r="C22" s="842" t="s">
        <v>1949</v>
      </c>
      <c r="D22" s="843">
        <f t="shared" ref="D22:D28" si="8">A22-B22</f>
        <v>3470588.0942999995</v>
      </c>
      <c r="E22" s="841" t="s">
        <v>1950</v>
      </c>
    </row>
    <row r="23" spans="1:8" ht="75">
      <c r="A23" s="844">
        <f t="shared" ref="A23:A28" si="9">D22</f>
        <v>3470588.0942999995</v>
      </c>
      <c r="B23" s="845">
        <v>0</v>
      </c>
      <c r="C23" s="846" t="s">
        <v>1951</v>
      </c>
      <c r="D23" s="847">
        <f t="shared" si="7"/>
        <v>3470588.0942999995</v>
      </c>
      <c r="E23" s="848" t="s">
        <v>1952</v>
      </c>
      <c r="F23" s="687"/>
      <c r="G23" s="687"/>
      <c r="H23" s="687"/>
    </row>
    <row r="24" spans="1:8" ht="75">
      <c r="A24" s="825">
        <f t="shared" si="9"/>
        <v>3470588.0942999995</v>
      </c>
      <c r="B24" s="835">
        <v>2000</v>
      </c>
      <c r="C24" s="842" t="s">
        <v>1953</v>
      </c>
      <c r="D24" s="843">
        <f t="shared" si="8"/>
        <v>3468588.0942999995</v>
      </c>
      <c r="E24" s="841" t="s">
        <v>1954</v>
      </c>
      <c r="F24" s="687"/>
      <c r="G24" s="687"/>
      <c r="H24" s="687"/>
    </row>
    <row r="25" spans="1:8" ht="45">
      <c r="A25" s="825">
        <f t="shared" si="9"/>
        <v>3468588.0942999995</v>
      </c>
      <c r="B25" s="834">
        <v>132.97</v>
      </c>
      <c r="C25" s="842" t="s">
        <v>1955</v>
      </c>
      <c r="D25" s="843">
        <f t="shared" si="7"/>
        <v>3468721.0642999997</v>
      </c>
      <c r="E25" s="841" t="s">
        <v>1956</v>
      </c>
      <c r="F25" s="687"/>
      <c r="G25" s="687"/>
      <c r="H25" s="687"/>
    </row>
    <row r="26" spans="1:8" ht="45">
      <c r="A26" s="825">
        <f t="shared" si="9"/>
        <v>3468721.0642999997</v>
      </c>
      <c r="B26" s="834">
        <v>20.76</v>
      </c>
      <c r="C26" s="842" t="s">
        <v>1957</v>
      </c>
      <c r="D26" s="843">
        <f t="shared" si="7"/>
        <v>3468741.8242999995</v>
      </c>
      <c r="E26" s="841" t="s">
        <v>1958</v>
      </c>
      <c r="F26" s="687"/>
      <c r="G26" s="687"/>
      <c r="H26" s="687"/>
    </row>
    <row r="27" spans="1:8" ht="90">
      <c r="A27" s="825">
        <f t="shared" si="9"/>
        <v>3468741.8242999995</v>
      </c>
      <c r="B27" s="835">
        <v>0.1464</v>
      </c>
      <c r="C27" s="464" t="s">
        <v>1959</v>
      </c>
      <c r="D27" s="843">
        <f t="shared" si="8"/>
        <v>3468741.6778999995</v>
      </c>
      <c r="E27" s="841" t="s">
        <v>1960</v>
      </c>
      <c r="F27" s="687"/>
      <c r="G27" s="687"/>
      <c r="H27" s="687"/>
    </row>
    <row r="28" spans="1:8" ht="45">
      <c r="A28" s="825">
        <f t="shared" si="9"/>
        <v>3468741.6778999995</v>
      </c>
      <c r="B28" s="835">
        <v>266.18</v>
      </c>
      <c r="C28" s="464" t="s">
        <v>1961</v>
      </c>
      <c r="D28" s="843">
        <f t="shared" si="8"/>
        <v>3468475.4978999994</v>
      </c>
      <c r="E28" s="841" t="s">
        <v>1962</v>
      </c>
      <c r="F28" s="687"/>
      <c r="G28" s="687"/>
      <c r="H28" s="687"/>
    </row>
    <row r="29" spans="1:8" ht="210">
      <c r="A29" s="825">
        <f t="shared" ref="A29:A34" si="10">D28</f>
        <v>3468475.4978999994</v>
      </c>
      <c r="B29" s="849">
        <v>675</v>
      </c>
      <c r="C29" s="850" t="s">
        <v>1963</v>
      </c>
      <c r="D29" s="851">
        <f>A29+0</f>
        <v>3468475.4978999994</v>
      </c>
      <c r="E29" s="852" t="s">
        <v>1964</v>
      </c>
      <c r="F29" s="687"/>
      <c r="G29" s="687"/>
      <c r="H29" s="687"/>
    </row>
    <row r="30" spans="1:8" ht="45">
      <c r="A30" s="825">
        <f t="shared" si="10"/>
        <v>3468475.4978999994</v>
      </c>
      <c r="B30" s="835">
        <v>14.9</v>
      </c>
      <c r="C30" s="93" t="s">
        <v>1965</v>
      </c>
      <c r="D30" s="843">
        <f>A30-B30</f>
        <v>3468460.5978999995</v>
      </c>
      <c r="E30" s="852" t="s">
        <v>1966</v>
      </c>
      <c r="F30" s="687"/>
      <c r="G30" s="687"/>
      <c r="H30" s="687"/>
    </row>
    <row r="31" spans="1:8" ht="45">
      <c r="A31" s="825">
        <f t="shared" si="10"/>
        <v>3468460.5978999995</v>
      </c>
      <c r="B31" s="834">
        <v>47.318199999999997</v>
      </c>
      <c r="C31" s="842" t="s">
        <v>1967</v>
      </c>
      <c r="D31" s="843">
        <f t="shared" ref="D31:D36" si="11">A31+B31</f>
        <v>3468507.9160999996</v>
      </c>
      <c r="E31" s="841" t="s">
        <v>1968</v>
      </c>
      <c r="F31" s="687"/>
      <c r="G31" s="687"/>
      <c r="H31" s="687"/>
    </row>
    <row r="32" spans="1:8" ht="45">
      <c r="A32" s="825">
        <f t="shared" si="10"/>
        <v>3468507.9160999996</v>
      </c>
      <c r="B32" s="834">
        <v>61.7</v>
      </c>
      <c r="C32" s="842" t="s">
        <v>1969</v>
      </c>
      <c r="D32" s="843">
        <f t="shared" si="11"/>
        <v>3468569.6160999998</v>
      </c>
      <c r="E32" s="841" t="s">
        <v>1970</v>
      </c>
      <c r="F32" s="687"/>
      <c r="G32" s="687"/>
      <c r="H32" s="687"/>
    </row>
    <row r="33" spans="1:8" ht="45">
      <c r="A33" s="825">
        <f t="shared" si="10"/>
        <v>3468569.6160999998</v>
      </c>
      <c r="B33" s="834">
        <v>20.097999999999999</v>
      </c>
      <c r="C33" s="842" t="s">
        <v>1971</v>
      </c>
      <c r="D33" s="843">
        <f t="shared" si="11"/>
        <v>3468589.7141</v>
      </c>
      <c r="E33" s="841" t="s">
        <v>1972</v>
      </c>
      <c r="F33" s="687"/>
      <c r="G33" s="687"/>
      <c r="H33" s="687"/>
    </row>
    <row r="34" spans="1:8" ht="45">
      <c r="A34" s="825">
        <f t="shared" si="10"/>
        <v>3468589.7141</v>
      </c>
      <c r="B34" s="834">
        <f>'LISTADO SIGAP'!I341</f>
        <v>11.03595</v>
      </c>
      <c r="C34" s="842" t="s">
        <v>1973</v>
      </c>
      <c r="D34" s="853">
        <f t="shared" si="11"/>
        <v>3468600.7500499999</v>
      </c>
      <c r="E34" s="841"/>
      <c r="F34" s="687"/>
      <c r="G34" s="687"/>
      <c r="H34" s="687"/>
    </row>
    <row r="35" spans="1:8" ht="30">
      <c r="A35" s="825">
        <f t="shared" ref="A35:A41" si="12">D34</f>
        <v>3468600.7500499999</v>
      </c>
      <c r="B35" s="834">
        <f>'LISTADO SIGAP'!I342</f>
        <v>2227.3161</v>
      </c>
      <c r="C35" s="842" t="s">
        <v>1974</v>
      </c>
      <c r="D35" s="853">
        <f t="shared" si="11"/>
        <v>3470828.0661499999</v>
      </c>
      <c r="E35" s="841"/>
      <c r="F35" s="687"/>
      <c r="G35" s="687"/>
      <c r="H35" s="687"/>
    </row>
    <row r="36" spans="1:8" ht="30">
      <c r="A36" s="825">
        <f t="shared" si="12"/>
        <v>3470828.0661499999</v>
      </c>
      <c r="B36" s="834">
        <f>'LISTADO SIGAP'!I343</f>
        <v>764.20410000000004</v>
      </c>
      <c r="C36" s="842" t="s">
        <v>1975</v>
      </c>
      <c r="D36" s="853">
        <f t="shared" si="11"/>
        <v>3471592.2702500001</v>
      </c>
      <c r="E36" s="841"/>
      <c r="F36" s="687"/>
      <c r="G36" s="687"/>
      <c r="H36" s="687"/>
    </row>
    <row r="37" spans="1:8" ht="30">
      <c r="A37" s="825">
        <f t="shared" si="12"/>
        <v>3471592.2702500001</v>
      </c>
      <c r="B37" s="834">
        <f>'LISTADO SIGAP'!I344</f>
        <v>139.505</v>
      </c>
      <c r="C37" s="842" t="s">
        <v>1976</v>
      </c>
      <c r="D37" s="853">
        <f t="shared" ref="D37:D41" si="13">A37+B37</f>
        <v>3471731.7752499999</v>
      </c>
      <c r="E37" s="841" t="s">
        <v>1977</v>
      </c>
      <c r="F37" s="687"/>
      <c r="G37" s="687"/>
      <c r="H37" s="687"/>
    </row>
    <row r="38" spans="1:8" ht="30">
      <c r="A38" s="825">
        <f t="shared" si="12"/>
        <v>3471731.7752499999</v>
      </c>
      <c r="B38" s="834">
        <f>'LISTADO SIGAP'!I345</f>
        <v>33.165700000000001</v>
      </c>
      <c r="C38" s="842" t="s">
        <v>1978</v>
      </c>
      <c r="D38" s="853">
        <f t="shared" si="13"/>
        <v>3471764.9409499997</v>
      </c>
      <c r="E38" s="841" t="s">
        <v>1977</v>
      </c>
      <c r="F38" s="687"/>
      <c r="G38" s="687"/>
      <c r="H38" s="687"/>
    </row>
    <row r="39" spans="1:8" ht="45">
      <c r="A39" s="854">
        <f t="shared" si="12"/>
        <v>3471764.9409499997</v>
      </c>
      <c r="B39" s="834">
        <f>'LISTADO SIGAP'!I346</f>
        <v>2391.1489999999999</v>
      </c>
      <c r="C39" s="464" t="s">
        <v>1979</v>
      </c>
      <c r="D39" s="853">
        <f t="shared" si="13"/>
        <v>3474156.0899499999</v>
      </c>
      <c r="E39" s="841" t="s">
        <v>1980</v>
      </c>
      <c r="F39" s="687"/>
      <c r="G39" s="687"/>
      <c r="H39" s="687"/>
    </row>
    <row r="40" spans="1:8" ht="45">
      <c r="A40" s="854">
        <f t="shared" si="12"/>
        <v>3474156.0899499999</v>
      </c>
      <c r="B40" s="855">
        <f>'LISTADO SIGAP'!J347</f>
        <v>66.324100000000001</v>
      </c>
      <c r="C40" s="856" t="s">
        <v>1981</v>
      </c>
      <c r="D40" s="853">
        <f t="shared" si="13"/>
        <v>3474222.4140499998</v>
      </c>
      <c r="E40" s="857" t="s">
        <v>1982</v>
      </c>
      <c r="F40" s="687"/>
      <c r="G40" s="687"/>
      <c r="H40" s="687"/>
    </row>
    <row r="41" spans="1:8" ht="45">
      <c r="A41" s="854">
        <f t="shared" si="12"/>
        <v>3474222.4140499998</v>
      </c>
      <c r="B41" s="855">
        <f>'LISTADO SIGAP'!J348</f>
        <v>43.52</v>
      </c>
      <c r="C41" s="856" t="s">
        <v>1983</v>
      </c>
      <c r="D41" s="853">
        <f t="shared" si="13"/>
        <v>3474265.9340499998</v>
      </c>
      <c r="E41" s="857" t="s">
        <v>1984</v>
      </c>
      <c r="F41" s="687"/>
      <c r="G41" s="687"/>
      <c r="H41" s="687"/>
    </row>
    <row r="42" spans="1:8" ht="15.75">
      <c r="A42" s="858" t="s">
        <v>1985</v>
      </c>
      <c r="B42" s="859">
        <f>(B4+B5+B6+B7+B8+B9+B10+B13+B15+B18+B19+B21+B25+B26)-(B11+B12+B14+B16+B17+B20+B22+B23+B24+B27+B28-B30+B31+B32+B33+B34+B35+B36+B37+B38+B39+B40+B41)</f>
        <v>22424.931750000003</v>
      </c>
      <c r="C42" s="860"/>
      <c r="D42" s="861"/>
      <c r="F42" s="687"/>
    </row>
    <row r="43" spans="1:8">
      <c r="A43" s="862"/>
    </row>
    <row r="44" spans="1:8" ht="15" customHeight="1">
      <c r="A44" s="1109" t="s">
        <v>1986</v>
      </c>
      <c r="B44" s="1109"/>
      <c r="C44" s="1109"/>
      <c r="D44" s="1109"/>
      <c r="E44" s="863" t="s">
        <v>1987</v>
      </c>
    </row>
    <row r="45" spans="1:8" ht="15" customHeight="1">
      <c r="A45" s="1110" t="s">
        <v>1988</v>
      </c>
      <c r="B45" s="1111"/>
      <c r="C45" s="1111"/>
      <c r="D45" s="1112"/>
      <c r="E45" s="864">
        <v>-20</v>
      </c>
    </row>
    <row r="46" spans="1:8">
      <c r="A46" s="1113" t="s">
        <v>1989</v>
      </c>
      <c r="B46" s="1114"/>
      <c r="C46" s="1114"/>
      <c r="D46" s="1115"/>
      <c r="E46" s="865">
        <v>20</v>
      </c>
    </row>
    <row r="47" spans="1:8">
      <c r="A47" s="1113" t="s">
        <v>1990</v>
      </c>
      <c r="B47" s="1114"/>
      <c r="C47" s="1114"/>
      <c r="D47" s="1115"/>
      <c r="E47" s="29">
        <v>-8.94</v>
      </c>
    </row>
    <row r="48" spans="1:8" ht="15" customHeight="1"/>
  </sheetData>
  <mergeCells count="5">
    <mergeCell ref="A1:E1"/>
    <mergeCell ref="A44:D44"/>
    <mergeCell ref="A45:D45"/>
    <mergeCell ref="A46:D46"/>
    <mergeCell ref="A47:D47"/>
  </mergeCells>
  <pageMargins left="0.69930555555555596" right="0.69930555555555596" top="0.75" bottom="0.75" header="0.3" footer="0.3"/>
  <pageSetup orientation="portrait"/>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P10"/>
  <sheetViews>
    <sheetView topLeftCell="A4" workbookViewId="0">
      <selection activeCell="J7" sqref="J7"/>
    </sheetView>
  </sheetViews>
  <sheetFormatPr baseColWidth="10" defaultColWidth="9" defaultRowHeight="15"/>
  <cols>
    <col min="1" max="1" width="3.7109375" customWidth="1"/>
    <col min="2" max="2" width="7.5703125" customWidth="1"/>
    <col min="3" max="3" width="11.28515625" customWidth="1"/>
    <col min="4" max="4" width="13" customWidth="1"/>
    <col min="6" max="6" width="9.140625" customWidth="1"/>
    <col min="7" max="7" width="14.140625" customWidth="1"/>
    <col min="8" max="8" width="11.7109375" customWidth="1"/>
    <col min="9" max="9" width="12.7109375" customWidth="1"/>
    <col min="10" max="10" width="12.85546875" customWidth="1"/>
    <col min="11" max="11" width="14.42578125" customWidth="1"/>
  </cols>
  <sheetData>
    <row r="1" spans="1:16" ht="23.25">
      <c r="A1" s="1205" t="s">
        <v>2695</v>
      </c>
      <c r="B1" s="1205"/>
      <c r="C1" s="1205"/>
      <c r="D1" s="1205"/>
      <c r="E1" s="1205"/>
      <c r="F1" s="1205"/>
      <c r="G1" s="1205"/>
      <c r="H1" s="1205"/>
      <c r="I1" s="1205"/>
      <c r="J1" s="1205"/>
      <c r="K1" s="1205"/>
      <c r="L1" s="1205"/>
      <c r="M1" s="1205"/>
      <c r="N1" s="1205"/>
      <c r="O1" s="1205"/>
      <c r="P1" s="1205"/>
    </row>
    <row r="3" spans="1:16" ht="38.25">
      <c r="A3" s="1" t="s">
        <v>0</v>
      </c>
      <c r="B3" s="2" t="s">
        <v>1</v>
      </c>
      <c r="C3" s="2" t="s">
        <v>2686</v>
      </c>
      <c r="D3" s="2" t="s">
        <v>2</v>
      </c>
      <c r="E3" s="2" t="s">
        <v>3</v>
      </c>
      <c r="F3" s="2" t="s">
        <v>4</v>
      </c>
      <c r="G3" s="2" t="s">
        <v>5</v>
      </c>
      <c r="H3" s="2" t="s">
        <v>6</v>
      </c>
      <c r="I3" s="2" t="s">
        <v>7</v>
      </c>
      <c r="J3" s="2" t="s">
        <v>8</v>
      </c>
      <c r="K3" s="2" t="s">
        <v>15</v>
      </c>
      <c r="L3" s="2" t="s">
        <v>2696</v>
      </c>
      <c r="M3" s="2" t="s">
        <v>2697</v>
      </c>
      <c r="N3" s="2" t="s">
        <v>2698</v>
      </c>
      <c r="O3" s="2" t="s">
        <v>2699</v>
      </c>
      <c r="P3" s="20" t="s">
        <v>2700</v>
      </c>
    </row>
    <row r="4" spans="1:16" ht="33.75">
      <c r="A4" s="3">
        <v>1</v>
      </c>
      <c r="B4" s="4" t="s">
        <v>46</v>
      </c>
      <c r="C4" s="5" t="s">
        <v>51</v>
      </c>
      <c r="D4" s="6" t="s">
        <v>47</v>
      </c>
      <c r="E4" s="6" t="s">
        <v>48</v>
      </c>
      <c r="F4" s="7" t="s">
        <v>49</v>
      </c>
      <c r="G4" s="6" t="s">
        <v>32</v>
      </c>
      <c r="H4" s="6" t="s">
        <v>33</v>
      </c>
      <c r="I4" s="6" t="s">
        <v>32</v>
      </c>
      <c r="J4" s="21">
        <v>734.77</v>
      </c>
      <c r="K4" s="22" t="s">
        <v>52</v>
      </c>
      <c r="L4" s="6" t="s">
        <v>2344</v>
      </c>
      <c r="M4" s="6" t="s">
        <v>2344</v>
      </c>
      <c r="N4" s="23" t="s">
        <v>53</v>
      </c>
      <c r="O4" s="24"/>
      <c r="P4" s="25" t="s">
        <v>2344</v>
      </c>
    </row>
    <row r="5" spans="1:16" ht="38.25">
      <c r="A5" s="8">
        <v>2</v>
      </c>
      <c r="B5" s="9" t="s">
        <v>78</v>
      </c>
      <c r="C5" s="10" t="s">
        <v>51</v>
      </c>
      <c r="D5" s="11" t="s">
        <v>2687</v>
      </c>
      <c r="E5" s="11" t="s">
        <v>48</v>
      </c>
      <c r="F5" s="12" t="s">
        <v>49</v>
      </c>
      <c r="G5" s="11" t="s">
        <v>32</v>
      </c>
      <c r="H5" s="11" t="s">
        <v>72</v>
      </c>
      <c r="I5" s="11" t="s">
        <v>32</v>
      </c>
      <c r="J5" s="26">
        <v>45168</v>
      </c>
      <c r="K5" s="27" t="s">
        <v>37</v>
      </c>
      <c r="L5" s="11" t="s">
        <v>2344</v>
      </c>
      <c r="M5" s="11" t="s">
        <v>1847</v>
      </c>
      <c r="N5" s="28" t="s">
        <v>39</v>
      </c>
      <c r="O5" s="29"/>
      <c r="P5" s="30" t="s">
        <v>2344</v>
      </c>
    </row>
    <row r="6" spans="1:16" ht="38.25">
      <c r="A6" s="8">
        <v>3</v>
      </c>
      <c r="B6" s="9" t="s">
        <v>86</v>
      </c>
      <c r="C6" s="10" t="s">
        <v>51</v>
      </c>
      <c r="D6" s="11" t="s">
        <v>87</v>
      </c>
      <c r="E6" s="11" t="s">
        <v>48</v>
      </c>
      <c r="F6" s="12" t="s">
        <v>49</v>
      </c>
      <c r="G6" s="11" t="s">
        <v>32</v>
      </c>
      <c r="H6" s="11" t="s">
        <v>88</v>
      </c>
      <c r="I6" s="11" t="s">
        <v>32</v>
      </c>
      <c r="J6" s="26">
        <v>34934</v>
      </c>
      <c r="K6" s="27" t="s">
        <v>37</v>
      </c>
      <c r="L6" s="11" t="s">
        <v>2344</v>
      </c>
      <c r="M6" s="11" t="s">
        <v>1847</v>
      </c>
      <c r="N6" s="28" t="s">
        <v>90</v>
      </c>
      <c r="O6" s="29"/>
      <c r="P6" s="30" t="s">
        <v>2344</v>
      </c>
    </row>
    <row r="7" spans="1:16" ht="33.75">
      <c r="A7" s="8">
        <v>4</v>
      </c>
      <c r="B7" s="13" t="s">
        <v>92</v>
      </c>
      <c r="C7" s="10" t="s">
        <v>51</v>
      </c>
      <c r="D7" s="11" t="s">
        <v>93</v>
      </c>
      <c r="E7" s="11" t="s">
        <v>48</v>
      </c>
      <c r="F7" s="12" t="s">
        <v>49</v>
      </c>
      <c r="G7" s="11" t="s">
        <v>32</v>
      </c>
      <c r="H7" s="11" t="s">
        <v>94</v>
      </c>
      <c r="I7" s="11" t="s">
        <v>32</v>
      </c>
      <c r="J7" s="26">
        <v>30719</v>
      </c>
      <c r="K7" s="27" t="s">
        <v>37</v>
      </c>
      <c r="L7" s="11" t="s">
        <v>2344</v>
      </c>
      <c r="M7" s="11" t="s">
        <v>1847</v>
      </c>
      <c r="N7" s="28" t="s">
        <v>39</v>
      </c>
      <c r="O7" s="29"/>
      <c r="P7" s="30" t="s">
        <v>2344</v>
      </c>
    </row>
    <row r="8" spans="1:16" ht="33.75">
      <c r="A8" s="8">
        <v>5</v>
      </c>
      <c r="B8" s="9" t="s">
        <v>391</v>
      </c>
      <c r="C8" s="10" t="s">
        <v>51</v>
      </c>
      <c r="D8" s="11" t="s">
        <v>392</v>
      </c>
      <c r="E8" s="11" t="s">
        <v>48</v>
      </c>
      <c r="F8" s="12" t="s">
        <v>49</v>
      </c>
      <c r="G8" s="11" t="s">
        <v>180</v>
      </c>
      <c r="H8" s="11" t="s">
        <v>393</v>
      </c>
      <c r="I8" s="11" t="s">
        <v>394</v>
      </c>
      <c r="J8" s="31">
        <v>983.29200000000003</v>
      </c>
      <c r="K8" s="27" t="s">
        <v>37</v>
      </c>
      <c r="L8" s="11" t="s">
        <v>2344</v>
      </c>
      <c r="M8" s="11" t="s">
        <v>2344</v>
      </c>
      <c r="N8" s="28" t="s">
        <v>396</v>
      </c>
      <c r="O8" s="29"/>
      <c r="P8" s="30" t="s">
        <v>2344</v>
      </c>
    </row>
    <row r="9" spans="1:16" ht="140.25">
      <c r="A9" s="8">
        <v>6</v>
      </c>
      <c r="B9" s="13" t="s">
        <v>401</v>
      </c>
      <c r="C9" s="10" t="s">
        <v>51</v>
      </c>
      <c r="D9" s="11" t="s">
        <v>402</v>
      </c>
      <c r="E9" s="14" t="s">
        <v>403</v>
      </c>
      <c r="F9" s="12" t="s">
        <v>127</v>
      </c>
      <c r="G9" s="11" t="s">
        <v>188</v>
      </c>
      <c r="H9" s="11" t="s">
        <v>404</v>
      </c>
      <c r="I9" s="11" t="s">
        <v>190</v>
      </c>
      <c r="J9" s="26">
        <v>2800</v>
      </c>
      <c r="K9" s="27" t="s">
        <v>37</v>
      </c>
      <c r="L9" s="11" t="s">
        <v>2344</v>
      </c>
      <c r="M9" s="11" t="s">
        <v>2344</v>
      </c>
      <c r="N9" s="28" t="s">
        <v>39</v>
      </c>
      <c r="O9" s="29"/>
      <c r="P9" s="30" t="s">
        <v>2344</v>
      </c>
    </row>
    <row r="10" spans="1:16" ht="33.75">
      <c r="A10" s="15">
        <v>7</v>
      </c>
      <c r="B10" s="16" t="s">
        <v>425</v>
      </c>
      <c r="C10" s="17" t="s">
        <v>51</v>
      </c>
      <c r="D10" s="18" t="s">
        <v>426</v>
      </c>
      <c r="E10" s="18" t="s">
        <v>48</v>
      </c>
      <c r="F10" s="19" t="s">
        <v>49</v>
      </c>
      <c r="G10" s="18" t="s">
        <v>210</v>
      </c>
      <c r="H10" s="18" t="s">
        <v>211</v>
      </c>
      <c r="I10" s="18" t="s">
        <v>212</v>
      </c>
      <c r="J10" s="32">
        <v>6265</v>
      </c>
      <c r="K10" s="33" t="s">
        <v>37</v>
      </c>
      <c r="L10" s="18" t="s">
        <v>2344</v>
      </c>
      <c r="M10" s="18" t="s">
        <v>2344</v>
      </c>
      <c r="N10" s="34" t="s">
        <v>2344</v>
      </c>
      <c r="O10" s="35"/>
      <c r="P10" s="36" t="s">
        <v>2344</v>
      </c>
    </row>
  </sheetData>
  <mergeCells count="1">
    <mergeCell ref="A1:P1"/>
  </mergeCells>
  <printOptions horizontalCentered="1" verticalCentered="1"/>
  <pageMargins left="0.70763888888888904" right="0.70763888888888904" top="0.74791666666666701" bottom="0.74791666666666701" header="0.31388888888888899" footer="0.31388888888888899"/>
  <pageSetup scale="65"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9"/>
  <sheetViews>
    <sheetView topLeftCell="A46" workbookViewId="0">
      <selection activeCell="H3" sqref="H3"/>
    </sheetView>
  </sheetViews>
  <sheetFormatPr baseColWidth="10" defaultColWidth="9" defaultRowHeight="15"/>
  <cols>
    <col min="6" max="6" width="12.5703125" customWidth="1"/>
    <col min="7" max="7" width="13.28515625" customWidth="1"/>
    <col min="8" max="8" width="14" customWidth="1"/>
    <col min="9" max="9" width="13" bestFit="1" customWidth="1"/>
  </cols>
  <sheetData>
    <row r="1" spans="1:22" ht="63">
      <c r="A1" s="151" t="s">
        <v>0</v>
      </c>
      <c r="B1" s="151" t="s">
        <v>1</v>
      </c>
      <c r="C1" s="329" t="s">
        <v>2</v>
      </c>
      <c r="D1" s="151" t="s">
        <v>3</v>
      </c>
      <c r="E1" s="151" t="s">
        <v>4</v>
      </c>
      <c r="F1" s="151" t="s">
        <v>5</v>
      </c>
      <c r="G1" s="151" t="s">
        <v>6</v>
      </c>
      <c r="H1" s="151" t="s">
        <v>7</v>
      </c>
      <c r="I1" s="810" t="s">
        <v>8</v>
      </c>
      <c r="J1" s="811" t="s">
        <v>9</v>
      </c>
      <c r="K1" s="812" t="s">
        <v>10</v>
      </c>
      <c r="L1" s="329" t="s">
        <v>11</v>
      </c>
      <c r="M1" s="151" t="s">
        <v>12</v>
      </c>
      <c r="N1" s="152" t="s">
        <v>13</v>
      </c>
      <c r="O1" s="329" t="s">
        <v>14</v>
      </c>
      <c r="P1" s="151" t="s">
        <v>15</v>
      </c>
      <c r="Q1" s="153" t="s">
        <v>16</v>
      </c>
      <c r="R1" s="154" t="s">
        <v>17</v>
      </c>
      <c r="S1" s="151" t="s">
        <v>18</v>
      </c>
      <c r="T1" s="155" t="s">
        <v>19</v>
      </c>
      <c r="U1" s="155" t="s">
        <v>20</v>
      </c>
      <c r="V1" s="151" t="s">
        <v>21</v>
      </c>
    </row>
    <row r="2" spans="1:22" ht="63.75">
      <c r="A2" s="135">
        <v>1</v>
      </c>
      <c r="B2" s="45" t="s">
        <v>28</v>
      </c>
      <c r="C2" s="809" t="s">
        <v>29</v>
      </c>
      <c r="D2" s="336" t="s">
        <v>30</v>
      </c>
      <c r="E2" s="165" t="s">
        <v>31</v>
      </c>
      <c r="F2" s="336" t="s">
        <v>32</v>
      </c>
      <c r="G2" s="336" t="s">
        <v>33</v>
      </c>
      <c r="H2" s="336" t="s">
        <v>32</v>
      </c>
      <c r="I2" s="337">
        <v>55005</v>
      </c>
      <c r="J2" s="813">
        <v>0</v>
      </c>
      <c r="K2" s="814">
        <v>55005</v>
      </c>
      <c r="L2" s="336" t="s">
        <v>34</v>
      </c>
      <c r="M2" s="165">
        <v>1955</v>
      </c>
      <c r="N2" s="179" t="s">
        <v>35</v>
      </c>
      <c r="O2" s="51" t="s">
        <v>36</v>
      </c>
      <c r="P2" s="189" t="s">
        <v>1846</v>
      </c>
      <c r="Q2" s="189"/>
      <c r="R2" s="190" t="s">
        <v>38</v>
      </c>
      <c r="S2" s="190" t="s">
        <v>396</v>
      </c>
      <c r="T2" s="191" t="s">
        <v>40</v>
      </c>
      <c r="U2" s="191">
        <v>2004</v>
      </c>
      <c r="V2" s="192" t="s">
        <v>41</v>
      </c>
    </row>
    <row r="3" spans="1:22" ht="63.75">
      <c r="A3" s="135">
        <v>2</v>
      </c>
      <c r="B3" s="45" t="s">
        <v>152</v>
      </c>
      <c r="C3" s="200" t="s">
        <v>153</v>
      </c>
      <c r="D3" s="148" t="s">
        <v>403</v>
      </c>
      <c r="E3" s="166" t="s">
        <v>127</v>
      </c>
      <c r="F3" s="53" t="s">
        <v>155</v>
      </c>
      <c r="G3" s="148" t="s">
        <v>156</v>
      </c>
      <c r="H3" s="148" t="s">
        <v>157</v>
      </c>
      <c r="I3" s="322">
        <v>122900</v>
      </c>
      <c r="J3" s="815">
        <v>122900</v>
      </c>
      <c r="K3" s="816">
        <v>122900</v>
      </c>
      <c r="L3" s="148" t="s">
        <v>158</v>
      </c>
      <c r="M3" s="166">
        <v>1955</v>
      </c>
      <c r="N3" s="179" t="s">
        <v>35</v>
      </c>
      <c r="O3" s="54" t="s">
        <v>73</v>
      </c>
      <c r="P3" s="53" t="s">
        <v>1846</v>
      </c>
      <c r="Q3" s="197"/>
      <c r="R3" s="190" t="s">
        <v>38</v>
      </c>
      <c r="S3" s="194" t="s">
        <v>53</v>
      </c>
      <c r="T3" s="200" t="s">
        <v>159</v>
      </c>
      <c r="U3" s="195">
        <v>2007</v>
      </c>
      <c r="V3" s="196" t="s">
        <v>77</v>
      </c>
    </row>
    <row r="4" spans="1:22" ht="51">
      <c r="A4" s="135">
        <v>3</v>
      </c>
      <c r="B4" s="47" t="s">
        <v>162</v>
      </c>
      <c r="C4" s="148" t="s">
        <v>1991</v>
      </c>
      <c r="D4" s="148" t="s">
        <v>30</v>
      </c>
      <c r="E4" s="166" t="s">
        <v>31</v>
      </c>
      <c r="F4" s="53" t="s">
        <v>164</v>
      </c>
      <c r="G4" s="148" t="s">
        <v>165</v>
      </c>
      <c r="H4" s="148" t="s">
        <v>165</v>
      </c>
      <c r="I4" s="313">
        <v>240</v>
      </c>
      <c r="J4" s="318">
        <v>240</v>
      </c>
      <c r="K4" s="341">
        <v>240</v>
      </c>
      <c r="L4" s="148" t="s">
        <v>166</v>
      </c>
      <c r="M4" s="166">
        <v>1955</v>
      </c>
      <c r="N4" s="179" t="s">
        <v>35</v>
      </c>
      <c r="O4" s="53" t="s">
        <v>167</v>
      </c>
      <c r="P4" s="53" t="s">
        <v>1992</v>
      </c>
      <c r="Q4" s="53"/>
      <c r="R4" s="198" t="s">
        <v>89</v>
      </c>
      <c r="S4" s="198" t="s">
        <v>35</v>
      </c>
      <c r="T4" s="148" t="s">
        <v>35</v>
      </c>
      <c r="U4" s="148" t="s">
        <v>35</v>
      </c>
      <c r="V4" s="148" t="s">
        <v>35</v>
      </c>
    </row>
    <row r="5" spans="1:22" ht="38.25">
      <c r="A5" s="135">
        <v>4</v>
      </c>
      <c r="B5" s="45" t="s">
        <v>170</v>
      </c>
      <c r="C5" s="148" t="s">
        <v>171</v>
      </c>
      <c r="D5" s="148" t="s">
        <v>30</v>
      </c>
      <c r="E5" s="166" t="s">
        <v>31</v>
      </c>
      <c r="F5" s="148" t="s">
        <v>172</v>
      </c>
      <c r="G5" s="148" t="s">
        <v>173</v>
      </c>
      <c r="H5" s="148" t="s">
        <v>174</v>
      </c>
      <c r="I5" s="313">
        <v>60</v>
      </c>
      <c r="J5" s="340">
        <v>0</v>
      </c>
      <c r="K5" s="341">
        <v>60</v>
      </c>
      <c r="L5" s="148" t="s">
        <v>175</v>
      </c>
      <c r="M5" s="166">
        <v>1955</v>
      </c>
      <c r="N5" s="179" t="s">
        <v>35</v>
      </c>
      <c r="O5" s="54" t="s">
        <v>73</v>
      </c>
      <c r="P5" s="53" t="s">
        <v>1846</v>
      </c>
      <c r="Q5" s="197"/>
      <c r="R5" s="198" t="s">
        <v>89</v>
      </c>
      <c r="S5" s="198" t="s">
        <v>35</v>
      </c>
      <c r="T5" s="148" t="s">
        <v>35</v>
      </c>
      <c r="U5" s="148" t="s">
        <v>35</v>
      </c>
      <c r="V5" s="148" t="s">
        <v>35</v>
      </c>
    </row>
    <row r="6" spans="1:22" ht="38.25">
      <c r="A6" s="135">
        <v>5</v>
      </c>
      <c r="B6" s="47" t="s">
        <v>178</v>
      </c>
      <c r="C6" s="148" t="s">
        <v>179</v>
      </c>
      <c r="D6" s="148" t="s">
        <v>30</v>
      </c>
      <c r="E6" s="166" t="s">
        <v>31</v>
      </c>
      <c r="F6" s="148" t="s">
        <v>180</v>
      </c>
      <c r="G6" s="148" t="s">
        <v>181</v>
      </c>
      <c r="H6" s="148" t="s">
        <v>182</v>
      </c>
      <c r="I6" s="313">
        <v>11</v>
      </c>
      <c r="J6" s="318">
        <v>11</v>
      </c>
      <c r="K6" s="341">
        <v>11</v>
      </c>
      <c r="L6" s="148" t="s">
        <v>175</v>
      </c>
      <c r="M6" s="166">
        <v>1955</v>
      </c>
      <c r="N6" s="179" t="s">
        <v>35</v>
      </c>
      <c r="O6" s="53" t="s">
        <v>183</v>
      </c>
      <c r="P6" s="53" t="s">
        <v>1992</v>
      </c>
      <c r="Q6" s="53"/>
      <c r="R6" s="198" t="s">
        <v>89</v>
      </c>
      <c r="S6" s="198" t="s">
        <v>35</v>
      </c>
      <c r="T6" s="148" t="s">
        <v>35</v>
      </c>
      <c r="U6" s="148" t="s">
        <v>35</v>
      </c>
      <c r="V6" s="148" t="s">
        <v>35</v>
      </c>
    </row>
    <row r="7" spans="1:22" ht="51">
      <c r="A7" s="135">
        <v>6</v>
      </c>
      <c r="B7" s="45" t="s">
        <v>186</v>
      </c>
      <c r="C7" s="170" t="s">
        <v>1993</v>
      </c>
      <c r="D7" s="148" t="s">
        <v>30</v>
      </c>
      <c r="E7" s="166" t="s">
        <v>31</v>
      </c>
      <c r="F7" s="148" t="s">
        <v>188</v>
      </c>
      <c r="G7" s="148" t="s">
        <v>189</v>
      </c>
      <c r="H7" s="148" t="s">
        <v>190</v>
      </c>
      <c r="I7" s="313">
        <v>73</v>
      </c>
      <c r="J7" s="315">
        <v>73</v>
      </c>
      <c r="K7" s="341">
        <v>73</v>
      </c>
      <c r="L7" s="148" t="s">
        <v>175</v>
      </c>
      <c r="M7" s="166">
        <v>1955</v>
      </c>
      <c r="N7" s="179" t="s">
        <v>35</v>
      </c>
      <c r="O7" s="52" t="s">
        <v>191</v>
      </c>
      <c r="P7" s="53" t="s">
        <v>1846</v>
      </c>
      <c r="Q7" s="53" t="s">
        <v>1994</v>
      </c>
      <c r="R7" s="198" t="s">
        <v>89</v>
      </c>
      <c r="S7" s="199" t="s">
        <v>90</v>
      </c>
      <c r="T7" s="148" t="s">
        <v>35</v>
      </c>
      <c r="U7" s="148" t="s">
        <v>35</v>
      </c>
      <c r="V7" s="148" t="s">
        <v>35</v>
      </c>
    </row>
    <row r="8" spans="1:22" ht="38.25">
      <c r="A8" s="135">
        <v>7</v>
      </c>
      <c r="B8" s="47" t="s">
        <v>194</v>
      </c>
      <c r="C8" s="148" t="s">
        <v>195</v>
      </c>
      <c r="D8" s="148" t="s">
        <v>30</v>
      </c>
      <c r="E8" s="166" t="s">
        <v>31</v>
      </c>
      <c r="F8" s="53" t="s">
        <v>155</v>
      </c>
      <c r="G8" s="148" t="s">
        <v>196</v>
      </c>
      <c r="H8" s="148" t="s">
        <v>197</v>
      </c>
      <c r="I8" s="313">
        <v>15</v>
      </c>
      <c r="J8" s="318">
        <v>15</v>
      </c>
      <c r="K8" s="341">
        <v>15</v>
      </c>
      <c r="L8" s="148" t="s">
        <v>175</v>
      </c>
      <c r="M8" s="166">
        <v>1955</v>
      </c>
      <c r="N8" s="179" t="s">
        <v>35</v>
      </c>
      <c r="O8" s="54" t="s">
        <v>73</v>
      </c>
      <c r="P8" s="53" t="s">
        <v>1846</v>
      </c>
      <c r="Q8" s="197"/>
      <c r="R8" s="198" t="s">
        <v>89</v>
      </c>
      <c r="S8" s="198" t="s">
        <v>35</v>
      </c>
      <c r="T8" s="148" t="s">
        <v>35</v>
      </c>
      <c r="U8" s="148" t="s">
        <v>35</v>
      </c>
      <c r="V8" s="148" t="s">
        <v>35</v>
      </c>
    </row>
    <row r="9" spans="1:22" ht="63.75">
      <c r="A9" s="135">
        <v>8</v>
      </c>
      <c r="B9" s="45" t="s">
        <v>199</v>
      </c>
      <c r="C9" s="200" t="s">
        <v>200</v>
      </c>
      <c r="D9" s="148" t="s">
        <v>30</v>
      </c>
      <c r="E9" s="166" t="s">
        <v>31</v>
      </c>
      <c r="F9" s="148" t="s">
        <v>201</v>
      </c>
      <c r="G9" s="148" t="s">
        <v>202</v>
      </c>
      <c r="H9" s="148" t="s">
        <v>203</v>
      </c>
      <c r="I9" s="313">
        <v>491</v>
      </c>
      <c r="J9" s="318">
        <v>491</v>
      </c>
      <c r="K9" s="341">
        <v>491</v>
      </c>
      <c r="L9" s="148" t="s">
        <v>204</v>
      </c>
      <c r="M9" s="166">
        <v>1955</v>
      </c>
      <c r="N9" s="179" t="s">
        <v>35</v>
      </c>
      <c r="O9" s="48" t="s">
        <v>205</v>
      </c>
      <c r="P9" s="53" t="s">
        <v>1995</v>
      </c>
      <c r="Q9" s="53" t="s">
        <v>1994</v>
      </c>
      <c r="R9" s="190" t="s">
        <v>38</v>
      </c>
      <c r="S9" s="194" t="s">
        <v>53</v>
      </c>
      <c r="T9" s="200" t="s">
        <v>206</v>
      </c>
      <c r="U9" s="195">
        <v>2006</v>
      </c>
      <c r="V9" s="196" t="s">
        <v>65</v>
      </c>
    </row>
    <row r="10" spans="1:22" ht="63.75">
      <c r="A10" s="135">
        <v>9</v>
      </c>
      <c r="B10" s="47" t="s">
        <v>208</v>
      </c>
      <c r="C10" s="200" t="s">
        <v>209</v>
      </c>
      <c r="D10" s="148" t="s">
        <v>30</v>
      </c>
      <c r="E10" s="166" t="s">
        <v>31</v>
      </c>
      <c r="F10" s="148" t="s">
        <v>210</v>
      </c>
      <c r="G10" s="148" t="s">
        <v>211</v>
      </c>
      <c r="H10" s="148" t="s">
        <v>212</v>
      </c>
      <c r="I10" s="313">
        <v>13000</v>
      </c>
      <c r="J10" s="315">
        <v>13000</v>
      </c>
      <c r="K10" s="817">
        <v>13000</v>
      </c>
      <c r="L10" s="148" t="s">
        <v>213</v>
      </c>
      <c r="M10" s="166">
        <v>1955</v>
      </c>
      <c r="N10" s="179" t="s">
        <v>35</v>
      </c>
      <c r="O10" s="54" t="s">
        <v>73</v>
      </c>
      <c r="P10" s="53" t="s">
        <v>1846</v>
      </c>
      <c r="Q10" s="197"/>
      <c r="R10" s="190" t="s">
        <v>38</v>
      </c>
      <c r="S10" s="194" t="s">
        <v>53</v>
      </c>
      <c r="T10" s="200" t="s">
        <v>214</v>
      </c>
      <c r="U10" s="195">
        <v>2005</v>
      </c>
      <c r="V10" s="196" t="s">
        <v>215</v>
      </c>
    </row>
    <row r="11" spans="1:22" ht="38.25">
      <c r="A11" s="135">
        <v>10</v>
      </c>
      <c r="B11" s="45" t="s">
        <v>219</v>
      </c>
      <c r="C11" s="148" t="s">
        <v>220</v>
      </c>
      <c r="D11" s="148" t="s">
        <v>30</v>
      </c>
      <c r="E11" s="166" t="s">
        <v>31</v>
      </c>
      <c r="F11" s="53" t="s">
        <v>164</v>
      </c>
      <c r="G11" s="148" t="s">
        <v>221</v>
      </c>
      <c r="H11" s="148" t="s">
        <v>222</v>
      </c>
      <c r="I11" s="313">
        <v>240</v>
      </c>
      <c r="J11" s="318">
        <v>240</v>
      </c>
      <c r="K11" s="818">
        <v>240</v>
      </c>
      <c r="L11" s="148" t="s">
        <v>175</v>
      </c>
      <c r="M11" s="166">
        <v>1955</v>
      </c>
      <c r="N11" s="179" t="s">
        <v>35</v>
      </c>
      <c r="O11" s="54" t="s">
        <v>73</v>
      </c>
      <c r="P11" s="53" t="s">
        <v>1846</v>
      </c>
      <c r="Q11" s="197"/>
      <c r="R11" s="198" t="s">
        <v>89</v>
      </c>
      <c r="S11" s="198" t="s">
        <v>35</v>
      </c>
      <c r="T11" s="148" t="s">
        <v>35</v>
      </c>
      <c r="U11" s="148" t="s">
        <v>35</v>
      </c>
      <c r="V11" s="148" t="s">
        <v>35</v>
      </c>
    </row>
    <row r="12" spans="1:22" ht="38.25">
      <c r="A12" s="135">
        <v>11</v>
      </c>
      <c r="B12" s="47" t="s">
        <v>225</v>
      </c>
      <c r="C12" s="148" t="s">
        <v>226</v>
      </c>
      <c r="D12" s="204" t="s">
        <v>227</v>
      </c>
      <c r="E12" s="148" t="s">
        <v>228</v>
      </c>
      <c r="F12" s="148" t="s">
        <v>210</v>
      </c>
      <c r="G12" s="148" t="s">
        <v>229</v>
      </c>
      <c r="H12" s="148" t="s">
        <v>212</v>
      </c>
      <c r="I12" s="313">
        <v>1000</v>
      </c>
      <c r="J12" s="318">
        <v>1000</v>
      </c>
      <c r="K12" s="819">
        <v>1000</v>
      </c>
      <c r="L12" s="148" t="s">
        <v>236</v>
      </c>
      <c r="M12" s="166">
        <v>1956</v>
      </c>
      <c r="N12" s="179" t="s">
        <v>35</v>
      </c>
      <c r="O12" s="54" t="s">
        <v>73</v>
      </c>
      <c r="P12" s="53" t="s">
        <v>1846</v>
      </c>
      <c r="Q12" s="197"/>
      <c r="R12" s="198" t="s">
        <v>89</v>
      </c>
      <c r="S12" s="198" t="s">
        <v>35</v>
      </c>
      <c r="T12" s="148" t="s">
        <v>35</v>
      </c>
      <c r="U12" s="148" t="s">
        <v>35</v>
      </c>
      <c r="V12" s="148" t="s">
        <v>35</v>
      </c>
    </row>
    <row r="13" spans="1:22" ht="38.25">
      <c r="A13" s="135">
        <v>12</v>
      </c>
      <c r="B13" s="45" t="s">
        <v>233</v>
      </c>
      <c r="C13" s="148" t="s">
        <v>234</v>
      </c>
      <c r="D13" s="148" t="s">
        <v>30</v>
      </c>
      <c r="E13" s="166" t="s">
        <v>31</v>
      </c>
      <c r="F13" s="148" t="s">
        <v>172</v>
      </c>
      <c r="G13" s="148" t="s">
        <v>235</v>
      </c>
      <c r="H13" s="148" t="s">
        <v>235</v>
      </c>
      <c r="I13" s="313">
        <v>902</v>
      </c>
      <c r="J13" s="318">
        <v>902</v>
      </c>
      <c r="K13" s="819">
        <v>902</v>
      </c>
      <c r="L13" s="148" t="s">
        <v>236</v>
      </c>
      <c r="M13" s="166">
        <v>1956</v>
      </c>
      <c r="N13" s="179" t="s">
        <v>35</v>
      </c>
      <c r="O13" s="54" t="s">
        <v>73</v>
      </c>
      <c r="P13" s="53" t="s">
        <v>1846</v>
      </c>
      <c r="Q13" s="197"/>
      <c r="R13" s="198" t="s">
        <v>89</v>
      </c>
      <c r="S13" s="198" t="s">
        <v>35</v>
      </c>
      <c r="T13" s="148" t="s">
        <v>35</v>
      </c>
      <c r="U13" s="148" t="s">
        <v>35</v>
      </c>
      <c r="V13" s="148" t="s">
        <v>35</v>
      </c>
    </row>
    <row r="14" spans="1:22" ht="38.25">
      <c r="A14" s="135">
        <v>13</v>
      </c>
      <c r="B14" s="47" t="s">
        <v>238</v>
      </c>
      <c r="C14" s="148" t="s">
        <v>239</v>
      </c>
      <c r="D14" s="204" t="s">
        <v>227</v>
      </c>
      <c r="E14" s="148" t="s">
        <v>228</v>
      </c>
      <c r="F14" s="148" t="s">
        <v>172</v>
      </c>
      <c r="G14" s="148" t="s">
        <v>240</v>
      </c>
      <c r="H14" s="148" t="s">
        <v>235</v>
      </c>
      <c r="I14" s="313">
        <v>4061</v>
      </c>
      <c r="J14" s="340">
        <v>0</v>
      </c>
      <c r="K14" s="341">
        <v>4061</v>
      </c>
      <c r="L14" s="148" t="s">
        <v>236</v>
      </c>
      <c r="M14" s="166">
        <v>1956</v>
      </c>
      <c r="N14" s="179" t="s">
        <v>35</v>
      </c>
      <c r="O14" s="54" t="s">
        <v>73</v>
      </c>
      <c r="P14" s="53" t="s">
        <v>1846</v>
      </c>
      <c r="Q14" s="197"/>
      <c r="R14" s="198" t="s">
        <v>89</v>
      </c>
      <c r="S14" s="198" t="s">
        <v>35</v>
      </c>
      <c r="T14" s="148" t="s">
        <v>35</v>
      </c>
      <c r="U14" s="148" t="s">
        <v>35</v>
      </c>
      <c r="V14" s="148" t="s">
        <v>35</v>
      </c>
    </row>
    <row r="15" spans="1:22" ht="89.25">
      <c r="A15" s="135">
        <v>14</v>
      </c>
      <c r="B15" s="45" t="s">
        <v>242</v>
      </c>
      <c r="C15" s="148" t="s">
        <v>243</v>
      </c>
      <c r="D15" s="204" t="s">
        <v>227</v>
      </c>
      <c r="E15" s="148" t="s">
        <v>228</v>
      </c>
      <c r="F15" s="148" t="s">
        <v>201</v>
      </c>
      <c r="G15" s="148" t="s">
        <v>244</v>
      </c>
      <c r="H15" s="148" t="s">
        <v>245</v>
      </c>
      <c r="I15" s="313">
        <v>5265.92</v>
      </c>
      <c r="J15" s="318">
        <v>5265.92</v>
      </c>
      <c r="K15" s="341">
        <v>5265.92</v>
      </c>
      <c r="L15" s="148" t="s">
        <v>246</v>
      </c>
      <c r="M15" s="166">
        <v>1956</v>
      </c>
      <c r="N15" s="179" t="s">
        <v>35</v>
      </c>
      <c r="O15" s="54" t="s">
        <v>73</v>
      </c>
      <c r="P15" s="53" t="s">
        <v>1846</v>
      </c>
      <c r="Q15" s="197"/>
      <c r="R15" s="198" t="s">
        <v>89</v>
      </c>
      <c r="S15" s="198" t="s">
        <v>35</v>
      </c>
      <c r="T15" s="148" t="s">
        <v>35</v>
      </c>
      <c r="U15" s="148" t="s">
        <v>35</v>
      </c>
      <c r="V15" s="148" t="s">
        <v>35</v>
      </c>
    </row>
    <row r="16" spans="1:22" ht="89.25">
      <c r="A16" s="135">
        <v>15</v>
      </c>
      <c r="B16" s="47" t="s">
        <v>249</v>
      </c>
      <c r="C16" s="148" t="s">
        <v>250</v>
      </c>
      <c r="D16" s="204" t="s">
        <v>227</v>
      </c>
      <c r="E16" s="148" t="s">
        <v>228</v>
      </c>
      <c r="F16" s="148" t="s">
        <v>201</v>
      </c>
      <c r="G16" s="148" t="s">
        <v>251</v>
      </c>
      <c r="H16" s="148" t="s">
        <v>252</v>
      </c>
      <c r="I16" s="313">
        <v>5436.93</v>
      </c>
      <c r="J16" s="318">
        <v>5436.93</v>
      </c>
      <c r="K16" s="341">
        <v>5436.93</v>
      </c>
      <c r="L16" s="148" t="s">
        <v>246</v>
      </c>
      <c r="M16" s="166">
        <v>1956</v>
      </c>
      <c r="N16" s="179" t="s">
        <v>35</v>
      </c>
      <c r="O16" s="54" t="s">
        <v>73</v>
      </c>
      <c r="P16" s="53" t="s">
        <v>1846</v>
      </c>
      <c r="Q16" s="197"/>
      <c r="R16" s="198" t="s">
        <v>89</v>
      </c>
      <c r="S16" s="198" t="s">
        <v>35</v>
      </c>
      <c r="T16" s="148" t="s">
        <v>35</v>
      </c>
      <c r="U16" s="148" t="s">
        <v>35</v>
      </c>
      <c r="V16" s="148" t="s">
        <v>35</v>
      </c>
    </row>
    <row r="17" spans="1:22" ht="76.5">
      <c r="A17" s="135">
        <v>16</v>
      </c>
      <c r="B17" s="45" t="s">
        <v>254</v>
      </c>
      <c r="C17" s="148" t="s">
        <v>255</v>
      </c>
      <c r="D17" s="204" t="s">
        <v>227</v>
      </c>
      <c r="E17" s="148" t="s">
        <v>228</v>
      </c>
      <c r="F17" s="148" t="s">
        <v>188</v>
      </c>
      <c r="G17" s="148" t="s">
        <v>256</v>
      </c>
      <c r="H17" s="148" t="s">
        <v>257</v>
      </c>
      <c r="I17" s="313">
        <v>683.19</v>
      </c>
      <c r="J17" s="318">
        <v>683.19</v>
      </c>
      <c r="K17" s="341">
        <v>683.19</v>
      </c>
      <c r="L17" s="148" t="s">
        <v>246</v>
      </c>
      <c r="M17" s="166">
        <v>1956</v>
      </c>
      <c r="N17" s="179" t="s">
        <v>35</v>
      </c>
      <c r="O17" s="54" t="s">
        <v>73</v>
      </c>
      <c r="P17" s="53" t="s">
        <v>1846</v>
      </c>
      <c r="Q17" s="197"/>
      <c r="R17" s="198" t="s">
        <v>89</v>
      </c>
      <c r="S17" s="198" t="s">
        <v>35</v>
      </c>
      <c r="T17" s="148" t="s">
        <v>35</v>
      </c>
      <c r="U17" s="148" t="s">
        <v>35</v>
      </c>
      <c r="V17" s="148" t="s">
        <v>35</v>
      </c>
    </row>
    <row r="18" spans="1:22" ht="76.5">
      <c r="A18" s="135">
        <v>17</v>
      </c>
      <c r="B18" s="47" t="s">
        <v>259</v>
      </c>
      <c r="C18" s="148" t="s">
        <v>260</v>
      </c>
      <c r="D18" s="204" t="s">
        <v>227</v>
      </c>
      <c r="E18" s="148" t="s">
        <v>228</v>
      </c>
      <c r="F18" s="148" t="s">
        <v>188</v>
      </c>
      <c r="G18" s="148" t="s">
        <v>261</v>
      </c>
      <c r="H18" s="148" t="s">
        <v>262</v>
      </c>
      <c r="I18" s="313">
        <v>524.01</v>
      </c>
      <c r="J18" s="318">
        <v>524.01</v>
      </c>
      <c r="K18" s="341">
        <v>524.01</v>
      </c>
      <c r="L18" s="148" t="s">
        <v>246</v>
      </c>
      <c r="M18" s="166">
        <v>1956</v>
      </c>
      <c r="N18" s="179" t="s">
        <v>35</v>
      </c>
      <c r="O18" s="54" t="s">
        <v>73</v>
      </c>
      <c r="P18" s="53" t="s">
        <v>1846</v>
      </c>
      <c r="Q18" s="197"/>
      <c r="R18" s="198" t="s">
        <v>89</v>
      </c>
      <c r="S18" s="198" t="s">
        <v>35</v>
      </c>
      <c r="T18" s="148" t="s">
        <v>35</v>
      </c>
      <c r="U18" s="148" t="s">
        <v>35</v>
      </c>
      <c r="V18" s="148" t="s">
        <v>35</v>
      </c>
    </row>
    <row r="19" spans="1:22" ht="76.5">
      <c r="A19" s="135">
        <v>18</v>
      </c>
      <c r="B19" s="47" t="s">
        <v>264</v>
      </c>
      <c r="C19" s="148" t="s">
        <v>265</v>
      </c>
      <c r="D19" s="204" t="s">
        <v>227</v>
      </c>
      <c r="E19" s="148" t="s">
        <v>228</v>
      </c>
      <c r="F19" s="53" t="s">
        <v>164</v>
      </c>
      <c r="G19" s="148" t="s">
        <v>165</v>
      </c>
      <c r="H19" s="148" t="s">
        <v>165</v>
      </c>
      <c r="I19" s="313">
        <v>1101.26</v>
      </c>
      <c r="J19" s="340">
        <v>0</v>
      </c>
      <c r="K19" s="341">
        <v>1101.26</v>
      </c>
      <c r="L19" s="148" t="s">
        <v>246</v>
      </c>
      <c r="M19" s="166">
        <v>1956</v>
      </c>
      <c r="N19" s="179" t="s">
        <v>35</v>
      </c>
      <c r="O19" s="54" t="s">
        <v>73</v>
      </c>
      <c r="P19" s="53" t="s">
        <v>1846</v>
      </c>
      <c r="Q19" s="197"/>
      <c r="R19" s="198" t="s">
        <v>89</v>
      </c>
      <c r="S19" s="198" t="s">
        <v>35</v>
      </c>
      <c r="T19" s="148" t="s">
        <v>35</v>
      </c>
      <c r="U19" s="148" t="s">
        <v>35</v>
      </c>
      <c r="V19" s="148" t="s">
        <v>35</v>
      </c>
    </row>
    <row r="20" spans="1:22" ht="76.5">
      <c r="A20" s="135">
        <v>19</v>
      </c>
      <c r="B20" s="45" t="s">
        <v>268</v>
      </c>
      <c r="C20" s="148" t="s">
        <v>269</v>
      </c>
      <c r="D20" s="204" t="s">
        <v>227</v>
      </c>
      <c r="E20" s="148" t="s">
        <v>228</v>
      </c>
      <c r="F20" s="148" t="s">
        <v>188</v>
      </c>
      <c r="G20" s="148" t="s">
        <v>270</v>
      </c>
      <c r="H20" s="148" t="s">
        <v>190</v>
      </c>
      <c r="I20" s="313">
        <v>48.18</v>
      </c>
      <c r="J20" s="318">
        <v>48.18</v>
      </c>
      <c r="K20" s="341">
        <v>48.18</v>
      </c>
      <c r="L20" s="148" t="s">
        <v>246</v>
      </c>
      <c r="M20" s="166">
        <v>1956</v>
      </c>
      <c r="N20" s="179" t="s">
        <v>35</v>
      </c>
      <c r="O20" s="54" t="s">
        <v>73</v>
      </c>
      <c r="P20" s="53" t="s">
        <v>1846</v>
      </c>
      <c r="Q20" s="197"/>
      <c r="R20" s="198" t="s">
        <v>89</v>
      </c>
      <c r="S20" s="198" t="s">
        <v>35</v>
      </c>
      <c r="T20" s="148" t="s">
        <v>35</v>
      </c>
      <c r="U20" s="148" t="s">
        <v>35</v>
      </c>
      <c r="V20" s="148" t="s">
        <v>35</v>
      </c>
    </row>
    <row r="21" spans="1:22" ht="76.5">
      <c r="A21" s="135">
        <v>20</v>
      </c>
      <c r="B21" s="47" t="s">
        <v>272</v>
      </c>
      <c r="C21" s="170" t="s">
        <v>273</v>
      </c>
      <c r="D21" s="204" t="s">
        <v>227</v>
      </c>
      <c r="E21" s="148" t="s">
        <v>228</v>
      </c>
      <c r="F21" s="53" t="s">
        <v>164</v>
      </c>
      <c r="G21" s="148" t="s">
        <v>274</v>
      </c>
      <c r="H21" s="148" t="s">
        <v>165</v>
      </c>
      <c r="I21" s="313">
        <v>934.52</v>
      </c>
      <c r="J21" s="318">
        <v>934.52</v>
      </c>
      <c r="K21" s="341">
        <v>934.52</v>
      </c>
      <c r="L21" s="148" t="s">
        <v>246</v>
      </c>
      <c r="M21" s="166">
        <v>1956</v>
      </c>
      <c r="N21" s="179" t="s">
        <v>35</v>
      </c>
      <c r="O21" s="54" t="s">
        <v>73</v>
      </c>
      <c r="P21" s="53" t="s">
        <v>1846</v>
      </c>
      <c r="Q21" s="53" t="s">
        <v>1996</v>
      </c>
      <c r="R21" s="198" t="s">
        <v>89</v>
      </c>
      <c r="S21" s="199" t="s">
        <v>90</v>
      </c>
      <c r="T21" s="148" t="s">
        <v>35</v>
      </c>
      <c r="U21" s="148" t="s">
        <v>35</v>
      </c>
      <c r="V21" s="148" t="s">
        <v>35</v>
      </c>
    </row>
    <row r="22" spans="1:22" ht="76.5">
      <c r="A22" s="135">
        <v>21</v>
      </c>
      <c r="B22" s="45" t="s">
        <v>281</v>
      </c>
      <c r="C22" s="148" t="s">
        <v>282</v>
      </c>
      <c r="D22" s="204" t="s">
        <v>227</v>
      </c>
      <c r="E22" s="148" t="s">
        <v>228</v>
      </c>
      <c r="F22" s="148" t="s">
        <v>188</v>
      </c>
      <c r="G22" s="148" t="s">
        <v>283</v>
      </c>
      <c r="H22" s="148" t="s">
        <v>262</v>
      </c>
      <c r="I22" s="313">
        <v>467.16</v>
      </c>
      <c r="J22" s="318">
        <v>467.16</v>
      </c>
      <c r="K22" s="341">
        <v>467.16</v>
      </c>
      <c r="L22" s="148" t="s">
        <v>246</v>
      </c>
      <c r="M22" s="166">
        <v>1956</v>
      </c>
      <c r="N22" s="179" t="s">
        <v>35</v>
      </c>
      <c r="O22" s="54" t="s">
        <v>73</v>
      </c>
      <c r="P22" s="53" t="s">
        <v>1846</v>
      </c>
      <c r="Q22" s="197"/>
      <c r="R22" s="198" t="s">
        <v>89</v>
      </c>
      <c r="S22" s="198" t="s">
        <v>35</v>
      </c>
      <c r="T22" s="148" t="s">
        <v>35</v>
      </c>
      <c r="U22" s="148" t="s">
        <v>35</v>
      </c>
      <c r="V22" s="148" t="s">
        <v>35</v>
      </c>
    </row>
    <row r="23" spans="1:22" ht="76.5">
      <c r="A23" s="135">
        <v>22</v>
      </c>
      <c r="B23" s="45" t="s">
        <v>285</v>
      </c>
      <c r="C23" s="148" t="s">
        <v>286</v>
      </c>
      <c r="D23" s="204" t="s">
        <v>227</v>
      </c>
      <c r="E23" s="148" t="s">
        <v>228</v>
      </c>
      <c r="F23" s="148" t="s">
        <v>188</v>
      </c>
      <c r="G23" s="148" t="s">
        <v>287</v>
      </c>
      <c r="H23" s="148" t="s">
        <v>190</v>
      </c>
      <c r="I23" s="313">
        <v>255.69</v>
      </c>
      <c r="J23" s="318">
        <v>255.69</v>
      </c>
      <c r="K23" s="341">
        <v>255.69</v>
      </c>
      <c r="L23" s="148" t="s">
        <v>246</v>
      </c>
      <c r="M23" s="166">
        <v>1956</v>
      </c>
      <c r="N23" s="179" t="s">
        <v>35</v>
      </c>
      <c r="O23" s="54" t="s">
        <v>73</v>
      </c>
      <c r="P23" s="53" t="s">
        <v>1846</v>
      </c>
      <c r="Q23" s="197"/>
      <c r="R23" s="198" t="s">
        <v>89</v>
      </c>
      <c r="S23" s="198" t="s">
        <v>35</v>
      </c>
      <c r="T23" s="148" t="s">
        <v>35</v>
      </c>
      <c r="U23" s="148" t="s">
        <v>35</v>
      </c>
      <c r="V23" s="148" t="s">
        <v>35</v>
      </c>
    </row>
    <row r="24" spans="1:22" ht="76.5">
      <c r="A24" s="135">
        <v>23</v>
      </c>
      <c r="B24" s="47" t="s">
        <v>289</v>
      </c>
      <c r="C24" s="148" t="s">
        <v>290</v>
      </c>
      <c r="D24" s="204" t="s">
        <v>227</v>
      </c>
      <c r="E24" s="148" t="s">
        <v>228</v>
      </c>
      <c r="F24" s="148" t="s">
        <v>188</v>
      </c>
      <c r="G24" s="148" t="s">
        <v>262</v>
      </c>
      <c r="H24" s="148" t="s">
        <v>262</v>
      </c>
      <c r="I24" s="313">
        <v>24.13</v>
      </c>
      <c r="J24" s="318">
        <v>24.13</v>
      </c>
      <c r="K24" s="341">
        <v>24.13</v>
      </c>
      <c r="L24" s="148" t="s">
        <v>246</v>
      </c>
      <c r="M24" s="166">
        <v>1956</v>
      </c>
      <c r="N24" s="179" t="s">
        <v>35</v>
      </c>
      <c r="O24" s="54" t="s">
        <v>73</v>
      </c>
      <c r="P24" s="53" t="s">
        <v>1846</v>
      </c>
      <c r="Q24" s="197"/>
      <c r="R24" s="198" t="s">
        <v>89</v>
      </c>
      <c r="S24" s="198" t="s">
        <v>35</v>
      </c>
      <c r="T24" s="148" t="s">
        <v>35</v>
      </c>
      <c r="U24" s="148" t="s">
        <v>35</v>
      </c>
      <c r="V24" s="148" t="s">
        <v>35</v>
      </c>
    </row>
    <row r="25" spans="1:22" ht="76.5">
      <c r="A25" s="135">
        <v>24</v>
      </c>
      <c r="B25" s="45" t="s">
        <v>292</v>
      </c>
      <c r="C25" s="148" t="s">
        <v>293</v>
      </c>
      <c r="D25" s="204" t="s">
        <v>227</v>
      </c>
      <c r="E25" s="148" t="s">
        <v>228</v>
      </c>
      <c r="F25" s="148" t="s">
        <v>201</v>
      </c>
      <c r="G25" s="148" t="s">
        <v>294</v>
      </c>
      <c r="H25" s="148" t="s">
        <v>295</v>
      </c>
      <c r="I25" s="313">
        <v>6698.44</v>
      </c>
      <c r="J25" s="318">
        <v>6698.44</v>
      </c>
      <c r="K25" s="341">
        <v>6698.44</v>
      </c>
      <c r="L25" s="148" t="s">
        <v>246</v>
      </c>
      <c r="M25" s="166">
        <v>1956</v>
      </c>
      <c r="N25" s="179" t="s">
        <v>35</v>
      </c>
      <c r="O25" s="54" t="s">
        <v>73</v>
      </c>
      <c r="P25" s="53" t="s">
        <v>1846</v>
      </c>
      <c r="Q25" s="197"/>
      <c r="R25" s="198" t="s">
        <v>89</v>
      </c>
      <c r="S25" s="198" t="s">
        <v>35</v>
      </c>
      <c r="T25" s="148" t="s">
        <v>35</v>
      </c>
      <c r="U25" s="148" t="s">
        <v>35</v>
      </c>
      <c r="V25" s="148" t="s">
        <v>35</v>
      </c>
    </row>
    <row r="26" spans="1:22" ht="76.5">
      <c r="A26" s="135">
        <v>25</v>
      </c>
      <c r="B26" s="47" t="s">
        <v>296</v>
      </c>
      <c r="C26" s="148" t="s">
        <v>297</v>
      </c>
      <c r="D26" s="204" t="s">
        <v>227</v>
      </c>
      <c r="E26" s="148" t="s">
        <v>228</v>
      </c>
      <c r="F26" s="148" t="s">
        <v>188</v>
      </c>
      <c r="G26" s="148" t="s">
        <v>298</v>
      </c>
      <c r="H26" s="148" t="s">
        <v>262</v>
      </c>
      <c r="I26" s="313">
        <v>583.72</v>
      </c>
      <c r="J26" s="318">
        <v>583.72</v>
      </c>
      <c r="K26" s="341">
        <v>583.72</v>
      </c>
      <c r="L26" s="148" t="s">
        <v>246</v>
      </c>
      <c r="M26" s="166">
        <v>1956</v>
      </c>
      <c r="N26" s="179" t="s">
        <v>35</v>
      </c>
      <c r="O26" s="54" t="s">
        <v>73</v>
      </c>
      <c r="P26" s="53" t="s">
        <v>1846</v>
      </c>
      <c r="Q26" s="197"/>
      <c r="R26" s="198" t="s">
        <v>89</v>
      </c>
      <c r="S26" s="198" t="s">
        <v>35</v>
      </c>
      <c r="T26" s="148" t="s">
        <v>35</v>
      </c>
      <c r="U26" s="148" t="s">
        <v>35</v>
      </c>
      <c r="V26" s="148" t="s">
        <v>35</v>
      </c>
    </row>
    <row r="27" spans="1:22" ht="76.5">
      <c r="A27" s="135">
        <v>26</v>
      </c>
      <c r="B27" s="45" t="s">
        <v>300</v>
      </c>
      <c r="C27" s="148" t="s">
        <v>301</v>
      </c>
      <c r="D27" s="204" t="s">
        <v>227</v>
      </c>
      <c r="E27" s="148" t="s">
        <v>228</v>
      </c>
      <c r="F27" s="148" t="s">
        <v>188</v>
      </c>
      <c r="G27" s="148" t="s">
        <v>257</v>
      </c>
      <c r="H27" s="148" t="s">
        <v>257</v>
      </c>
      <c r="I27" s="313">
        <v>1074.0899999999999</v>
      </c>
      <c r="J27" s="318">
        <v>1074.0899999999999</v>
      </c>
      <c r="K27" s="341">
        <v>1074.0899999999999</v>
      </c>
      <c r="L27" s="148" t="s">
        <v>246</v>
      </c>
      <c r="M27" s="166">
        <v>1956</v>
      </c>
      <c r="N27" s="179" t="s">
        <v>35</v>
      </c>
      <c r="O27" s="54" t="s">
        <v>73</v>
      </c>
      <c r="P27" s="53" t="s">
        <v>1846</v>
      </c>
      <c r="Q27" s="197"/>
      <c r="R27" s="198" t="s">
        <v>89</v>
      </c>
      <c r="S27" s="198" t="s">
        <v>35</v>
      </c>
      <c r="T27" s="148" t="s">
        <v>35</v>
      </c>
      <c r="U27" s="148" t="s">
        <v>35</v>
      </c>
      <c r="V27" s="148" t="s">
        <v>35</v>
      </c>
    </row>
    <row r="28" spans="1:22" ht="76.5">
      <c r="A28" s="135">
        <v>27</v>
      </c>
      <c r="B28" s="47" t="s">
        <v>303</v>
      </c>
      <c r="C28" s="148" t="s">
        <v>304</v>
      </c>
      <c r="D28" s="204" t="s">
        <v>227</v>
      </c>
      <c r="E28" s="148" t="s">
        <v>228</v>
      </c>
      <c r="F28" s="148" t="s">
        <v>188</v>
      </c>
      <c r="G28" s="148" t="s">
        <v>305</v>
      </c>
      <c r="H28" s="148" t="s">
        <v>190</v>
      </c>
      <c r="I28" s="313">
        <v>918.46</v>
      </c>
      <c r="J28" s="318">
        <v>918.46</v>
      </c>
      <c r="K28" s="341">
        <v>918.46</v>
      </c>
      <c r="L28" s="148" t="s">
        <v>246</v>
      </c>
      <c r="M28" s="166">
        <v>1956</v>
      </c>
      <c r="N28" s="179" t="s">
        <v>35</v>
      </c>
      <c r="O28" s="54" t="s">
        <v>73</v>
      </c>
      <c r="P28" s="53" t="s">
        <v>1846</v>
      </c>
      <c r="Q28" s="197"/>
      <c r="R28" s="198" t="s">
        <v>89</v>
      </c>
      <c r="S28" s="198" t="s">
        <v>35</v>
      </c>
      <c r="T28" s="148" t="s">
        <v>35</v>
      </c>
      <c r="U28" s="148" t="s">
        <v>35</v>
      </c>
      <c r="V28" s="148" t="s">
        <v>35</v>
      </c>
    </row>
    <row r="29" spans="1:22" ht="76.5">
      <c r="A29" s="135">
        <v>28</v>
      </c>
      <c r="B29" s="45" t="s">
        <v>307</v>
      </c>
      <c r="C29" s="148" t="s">
        <v>308</v>
      </c>
      <c r="D29" s="204" t="s">
        <v>227</v>
      </c>
      <c r="E29" s="148" t="s">
        <v>228</v>
      </c>
      <c r="F29" s="53" t="s">
        <v>164</v>
      </c>
      <c r="G29" s="148" t="s">
        <v>309</v>
      </c>
      <c r="H29" s="148" t="s">
        <v>165</v>
      </c>
      <c r="I29" s="313">
        <v>3684.42</v>
      </c>
      <c r="J29" s="318">
        <v>3684.42</v>
      </c>
      <c r="K29" s="341">
        <v>3684.42</v>
      </c>
      <c r="L29" s="148" t="s">
        <v>246</v>
      </c>
      <c r="M29" s="166">
        <v>1956</v>
      </c>
      <c r="N29" s="179" t="s">
        <v>35</v>
      </c>
      <c r="O29" s="54" t="s">
        <v>73</v>
      </c>
      <c r="P29" s="53" t="s">
        <v>1846</v>
      </c>
      <c r="Q29" s="197"/>
      <c r="R29" s="198" t="s">
        <v>89</v>
      </c>
      <c r="S29" s="198" t="s">
        <v>35</v>
      </c>
      <c r="T29" s="148" t="s">
        <v>35</v>
      </c>
      <c r="U29" s="148" t="s">
        <v>35</v>
      </c>
      <c r="V29" s="148" t="s">
        <v>35</v>
      </c>
    </row>
    <row r="30" spans="1:22" ht="76.5">
      <c r="A30" s="135">
        <v>29</v>
      </c>
      <c r="B30" s="47" t="s">
        <v>311</v>
      </c>
      <c r="C30" s="11" t="s">
        <v>312</v>
      </c>
      <c r="D30" s="204" t="s">
        <v>227</v>
      </c>
      <c r="E30" s="148" t="s">
        <v>228</v>
      </c>
      <c r="F30" s="148" t="s">
        <v>188</v>
      </c>
      <c r="G30" s="148" t="s">
        <v>313</v>
      </c>
      <c r="H30" s="148" t="s">
        <v>262</v>
      </c>
      <c r="I30" s="313">
        <v>163.6</v>
      </c>
      <c r="J30" s="318">
        <v>163.6</v>
      </c>
      <c r="K30" s="820">
        <v>163.6</v>
      </c>
      <c r="L30" s="148" t="s">
        <v>246</v>
      </c>
      <c r="M30" s="166">
        <v>1956</v>
      </c>
      <c r="N30" s="179" t="s">
        <v>35</v>
      </c>
      <c r="O30" s="54" t="s">
        <v>73</v>
      </c>
      <c r="P30" s="53" t="s">
        <v>1846</v>
      </c>
      <c r="Q30" s="197"/>
      <c r="R30" s="198" t="s">
        <v>89</v>
      </c>
      <c r="S30" s="198" t="s">
        <v>35</v>
      </c>
      <c r="T30" s="148" t="s">
        <v>35</v>
      </c>
      <c r="U30" s="148" t="s">
        <v>35</v>
      </c>
      <c r="V30" s="148" t="s">
        <v>35</v>
      </c>
    </row>
    <row r="31" spans="1:22" ht="76.5">
      <c r="A31" s="135">
        <v>30</v>
      </c>
      <c r="B31" s="47" t="s">
        <v>315</v>
      </c>
      <c r="C31" s="148" t="s">
        <v>316</v>
      </c>
      <c r="D31" s="204" t="s">
        <v>227</v>
      </c>
      <c r="E31" s="148" t="s">
        <v>228</v>
      </c>
      <c r="F31" s="148" t="s">
        <v>188</v>
      </c>
      <c r="G31" s="148" t="s">
        <v>317</v>
      </c>
      <c r="H31" s="148" t="s">
        <v>262</v>
      </c>
      <c r="I31" s="313">
        <v>402.59</v>
      </c>
      <c r="J31" s="318">
        <v>402.59</v>
      </c>
      <c r="K31" s="341">
        <v>402.59</v>
      </c>
      <c r="L31" s="148" t="s">
        <v>246</v>
      </c>
      <c r="M31" s="166">
        <v>1956</v>
      </c>
      <c r="N31" s="179" t="s">
        <v>35</v>
      </c>
      <c r="O31" s="54" t="s">
        <v>73</v>
      </c>
      <c r="P31" s="53" t="s">
        <v>1846</v>
      </c>
      <c r="Q31" s="197"/>
      <c r="R31" s="198" t="s">
        <v>89</v>
      </c>
      <c r="S31" s="198" t="s">
        <v>35</v>
      </c>
      <c r="T31" s="148" t="s">
        <v>35</v>
      </c>
      <c r="U31" s="148" t="s">
        <v>35</v>
      </c>
      <c r="V31" s="148" t="s">
        <v>35</v>
      </c>
    </row>
    <row r="32" spans="1:22" ht="76.5">
      <c r="A32" s="135">
        <v>31</v>
      </c>
      <c r="B32" s="45" t="s">
        <v>327</v>
      </c>
      <c r="C32" s="148" t="s">
        <v>328</v>
      </c>
      <c r="D32" s="204" t="s">
        <v>227</v>
      </c>
      <c r="E32" s="148" t="s">
        <v>228</v>
      </c>
      <c r="F32" s="148" t="s">
        <v>201</v>
      </c>
      <c r="G32" s="148" t="s">
        <v>329</v>
      </c>
      <c r="H32" s="148" t="s">
        <v>203</v>
      </c>
      <c r="I32" s="316">
        <v>1172.0999999999999</v>
      </c>
      <c r="J32" s="317">
        <v>1172.0999999999999</v>
      </c>
      <c r="K32" s="344">
        <v>1172.0999999999999</v>
      </c>
      <c r="L32" s="148" t="s">
        <v>246</v>
      </c>
      <c r="M32" s="166">
        <v>1956</v>
      </c>
      <c r="N32" s="179" t="s">
        <v>35</v>
      </c>
      <c r="O32" s="54" t="s">
        <v>1997</v>
      </c>
      <c r="P32" s="53" t="s">
        <v>1846</v>
      </c>
      <c r="Q32" s="53"/>
      <c r="R32" s="198" t="s">
        <v>89</v>
      </c>
      <c r="S32" s="198" t="s">
        <v>35</v>
      </c>
      <c r="T32" s="148" t="s">
        <v>35</v>
      </c>
      <c r="U32" s="148" t="s">
        <v>35</v>
      </c>
      <c r="V32" s="148" t="s">
        <v>35</v>
      </c>
    </row>
    <row r="33" spans="1:22" ht="76.5">
      <c r="A33" s="135">
        <v>32</v>
      </c>
      <c r="B33" s="45" t="s">
        <v>330</v>
      </c>
      <c r="C33" s="148" t="s">
        <v>331</v>
      </c>
      <c r="D33" s="204" t="s">
        <v>227</v>
      </c>
      <c r="E33" s="148" t="s">
        <v>228</v>
      </c>
      <c r="F33" s="53" t="s">
        <v>164</v>
      </c>
      <c r="G33" s="148" t="s">
        <v>165</v>
      </c>
      <c r="H33" s="148" t="s">
        <v>165</v>
      </c>
      <c r="I33" s="313">
        <v>3149.72</v>
      </c>
      <c r="J33" s="340">
        <v>0</v>
      </c>
      <c r="K33" s="341">
        <v>3149.72</v>
      </c>
      <c r="L33" s="148" t="s">
        <v>246</v>
      </c>
      <c r="M33" s="166">
        <v>1956</v>
      </c>
      <c r="N33" s="179" t="s">
        <v>35</v>
      </c>
      <c r="O33" s="54" t="s">
        <v>73</v>
      </c>
      <c r="P33" s="53" t="s">
        <v>1846</v>
      </c>
      <c r="Q33" s="197"/>
      <c r="R33" s="198" t="s">
        <v>89</v>
      </c>
      <c r="S33" s="198" t="s">
        <v>35</v>
      </c>
      <c r="T33" s="148" t="s">
        <v>35</v>
      </c>
      <c r="U33" s="148" t="s">
        <v>35</v>
      </c>
      <c r="V33" s="148" t="s">
        <v>35</v>
      </c>
    </row>
    <row r="34" spans="1:22" ht="76.5">
      <c r="A34" s="135">
        <v>33</v>
      </c>
      <c r="B34" s="47" t="s">
        <v>333</v>
      </c>
      <c r="C34" s="148" t="s">
        <v>334</v>
      </c>
      <c r="D34" s="204" t="s">
        <v>227</v>
      </c>
      <c r="E34" s="148" t="s">
        <v>228</v>
      </c>
      <c r="F34" s="53" t="s">
        <v>164</v>
      </c>
      <c r="G34" s="221" t="s">
        <v>165</v>
      </c>
      <c r="H34" s="148" t="s">
        <v>165</v>
      </c>
      <c r="I34" s="313">
        <v>1566.73</v>
      </c>
      <c r="J34" s="340">
        <v>0</v>
      </c>
      <c r="K34" s="341">
        <v>1566.73</v>
      </c>
      <c r="L34" s="148" t="s">
        <v>246</v>
      </c>
      <c r="M34" s="166">
        <v>1956</v>
      </c>
      <c r="N34" s="179" t="s">
        <v>35</v>
      </c>
      <c r="O34" s="54" t="s">
        <v>73</v>
      </c>
      <c r="P34" s="53" t="s">
        <v>1846</v>
      </c>
      <c r="Q34" s="197"/>
      <c r="R34" s="198" t="s">
        <v>89</v>
      </c>
      <c r="S34" s="198" t="s">
        <v>35</v>
      </c>
      <c r="T34" s="148" t="s">
        <v>35</v>
      </c>
      <c r="U34" s="148" t="s">
        <v>35</v>
      </c>
      <c r="V34" s="148" t="s">
        <v>35</v>
      </c>
    </row>
    <row r="35" spans="1:22" ht="76.5">
      <c r="A35" s="135">
        <v>34</v>
      </c>
      <c r="B35" s="45" t="s">
        <v>336</v>
      </c>
      <c r="C35" s="148" t="s">
        <v>337</v>
      </c>
      <c r="D35" s="204" t="s">
        <v>227</v>
      </c>
      <c r="E35" s="148" t="s">
        <v>228</v>
      </c>
      <c r="F35" s="53" t="s">
        <v>164</v>
      </c>
      <c r="G35" s="148" t="s">
        <v>338</v>
      </c>
      <c r="H35" s="148" t="s">
        <v>339</v>
      </c>
      <c r="I35" s="313">
        <v>5702.13</v>
      </c>
      <c r="J35" s="318">
        <v>5702.13</v>
      </c>
      <c r="K35" s="341">
        <v>5702.13</v>
      </c>
      <c r="L35" s="148" t="s">
        <v>246</v>
      </c>
      <c r="M35" s="166">
        <v>1956</v>
      </c>
      <c r="N35" s="179" t="s">
        <v>35</v>
      </c>
      <c r="O35" s="54" t="s">
        <v>73</v>
      </c>
      <c r="P35" s="53" t="s">
        <v>1846</v>
      </c>
      <c r="Q35" s="197"/>
      <c r="R35" s="198" t="s">
        <v>89</v>
      </c>
      <c r="S35" s="198" t="s">
        <v>35</v>
      </c>
      <c r="T35" s="148" t="s">
        <v>35</v>
      </c>
      <c r="U35" s="148" t="s">
        <v>35</v>
      </c>
      <c r="V35" s="148" t="s">
        <v>35</v>
      </c>
    </row>
    <row r="36" spans="1:22" ht="84">
      <c r="A36" s="135">
        <v>35</v>
      </c>
      <c r="B36" s="47" t="s">
        <v>341</v>
      </c>
      <c r="C36" s="148" t="s">
        <v>342</v>
      </c>
      <c r="D36" s="204" t="s">
        <v>227</v>
      </c>
      <c r="E36" s="148" t="s">
        <v>228</v>
      </c>
      <c r="F36" s="53" t="s">
        <v>164</v>
      </c>
      <c r="G36" s="345" t="s">
        <v>343</v>
      </c>
      <c r="H36" s="148" t="s">
        <v>165</v>
      </c>
      <c r="I36" s="313">
        <v>5266.2</v>
      </c>
      <c r="J36" s="340">
        <v>0</v>
      </c>
      <c r="K36" s="341">
        <v>5266.2</v>
      </c>
      <c r="L36" s="148" t="s">
        <v>246</v>
      </c>
      <c r="M36" s="166">
        <v>1956</v>
      </c>
      <c r="N36" s="179" t="s">
        <v>35</v>
      </c>
      <c r="O36" s="54" t="s">
        <v>73</v>
      </c>
      <c r="P36" s="53" t="s">
        <v>1846</v>
      </c>
      <c r="Q36" s="197"/>
      <c r="R36" s="198" t="s">
        <v>89</v>
      </c>
      <c r="S36" s="198" t="s">
        <v>35</v>
      </c>
      <c r="T36" s="148" t="s">
        <v>35</v>
      </c>
      <c r="U36" s="148" t="s">
        <v>35</v>
      </c>
      <c r="V36" s="148" t="s">
        <v>35</v>
      </c>
    </row>
    <row r="37" spans="1:22" ht="76.5">
      <c r="A37" s="135">
        <v>36</v>
      </c>
      <c r="B37" s="45" t="s">
        <v>345</v>
      </c>
      <c r="C37" s="148" t="s">
        <v>346</v>
      </c>
      <c r="D37" s="204" t="s">
        <v>227</v>
      </c>
      <c r="E37" s="148" t="s">
        <v>228</v>
      </c>
      <c r="F37" s="53" t="s">
        <v>164</v>
      </c>
      <c r="G37" s="148" t="s">
        <v>347</v>
      </c>
      <c r="H37" s="148" t="s">
        <v>348</v>
      </c>
      <c r="I37" s="313">
        <v>2871.12</v>
      </c>
      <c r="J37" s="318">
        <v>2871.12</v>
      </c>
      <c r="K37" s="341">
        <v>2871.12</v>
      </c>
      <c r="L37" s="148" t="s">
        <v>246</v>
      </c>
      <c r="M37" s="166">
        <v>1956</v>
      </c>
      <c r="N37" s="179" t="s">
        <v>35</v>
      </c>
      <c r="O37" s="54" t="s">
        <v>73</v>
      </c>
      <c r="P37" s="53" t="s">
        <v>1846</v>
      </c>
      <c r="Q37" s="197"/>
      <c r="R37" s="198" t="s">
        <v>89</v>
      </c>
      <c r="S37" s="198" t="s">
        <v>35</v>
      </c>
      <c r="T37" s="148" t="s">
        <v>35</v>
      </c>
      <c r="U37" s="148" t="s">
        <v>35</v>
      </c>
      <c r="V37" s="148" t="s">
        <v>35</v>
      </c>
    </row>
    <row r="38" spans="1:22" ht="76.5">
      <c r="A38" s="135">
        <v>37</v>
      </c>
      <c r="B38" s="47" t="s">
        <v>350</v>
      </c>
      <c r="C38" s="148" t="s">
        <v>351</v>
      </c>
      <c r="D38" s="204" t="s">
        <v>227</v>
      </c>
      <c r="E38" s="148" t="s">
        <v>228</v>
      </c>
      <c r="F38" s="148" t="s">
        <v>188</v>
      </c>
      <c r="G38" s="148" t="s">
        <v>352</v>
      </c>
      <c r="H38" s="148" t="s">
        <v>353</v>
      </c>
      <c r="I38" s="313">
        <v>850.96</v>
      </c>
      <c r="J38" s="318">
        <v>850.96</v>
      </c>
      <c r="K38" s="341">
        <v>850.96</v>
      </c>
      <c r="L38" s="148" t="s">
        <v>246</v>
      </c>
      <c r="M38" s="166">
        <v>1956</v>
      </c>
      <c r="N38" s="179" t="s">
        <v>35</v>
      </c>
      <c r="O38" s="54" t="s">
        <v>73</v>
      </c>
      <c r="P38" s="53" t="s">
        <v>1846</v>
      </c>
      <c r="Q38" s="197"/>
      <c r="R38" s="198" t="s">
        <v>89</v>
      </c>
      <c r="S38" s="198" t="s">
        <v>35</v>
      </c>
      <c r="T38" s="148" t="s">
        <v>35</v>
      </c>
      <c r="U38" s="148" t="s">
        <v>35</v>
      </c>
      <c r="V38" s="148" t="s">
        <v>35</v>
      </c>
    </row>
    <row r="39" spans="1:22" ht="76.5">
      <c r="A39" s="135">
        <v>38</v>
      </c>
      <c r="B39" s="45" t="s">
        <v>355</v>
      </c>
      <c r="C39" s="148" t="s">
        <v>356</v>
      </c>
      <c r="D39" s="204" t="s">
        <v>227</v>
      </c>
      <c r="E39" s="148" t="s">
        <v>228</v>
      </c>
      <c r="F39" s="53" t="s">
        <v>164</v>
      </c>
      <c r="G39" s="148" t="s">
        <v>357</v>
      </c>
      <c r="H39" s="148" t="s">
        <v>348</v>
      </c>
      <c r="I39" s="313">
        <v>11569.56</v>
      </c>
      <c r="J39" s="318">
        <v>11569.56</v>
      </c>
      <c r="K39" s="341">
        <v>11569.56</v>
      </c>
      <c r="L39" s="148" t="s">
        <v>246</v>
      </c>
      <c r="M39" s="166">
        <v>1956</v>
      </c>
      <c r="N39" s="179" t="s">
        <v>35</v>
      </c>
      <c r="O39" s="54" t="s">
        <v>73</v>
      </c>
      <c r="P39" s="53" t="s">
        <v>1846</v>
      </c>
      <c r="Q39" s="197"/>
      <c r="R39" s="198" t="s">
        <v>89</v>
      </c>
      <c r="S39" s="198" t="s">
        <v>35</v>
      </c>
      <c r="T39" s="148" t="s">
        <v>35</v>
      </c>
      <c r="U39" s="148" t="s">
        <v>35</v>
      </c>
      <c r="V39" s="148" t="s">
        <v>35</v>
      </c>
    </row>
    <row r="40" spans="1:22" ht="76.5">
      <c r="A40" s="135">
        <v>39</v>
      </c>
      <c r="B40" s="47" t="s">
        <v>359</v>
      </c>
      <c r="C40" s="148" t="s">
        <v>360</v>
      </c>
      <c r="D40" s="204" t="s">
        <v>227</v>
      </c>
      <c r="E40" s="148" t="s">
        <v>228</v>
      </c>
      <c r="F40" s="148" t="s">
        <v>188</v>
      </c>
      <c r="G40" s="148" t="s">
        <v>361</v>
      </c>
      <c r="H40" s="148" t="s">
        <v>190</v>
      </c>
      <c r="I40" s="313">
        <v>908.03</v>
      </c>
      <c r="J40" s="318">
        <v>908.03</v>
      </c>
      <c r="K40" s="341">
        <v>908.03</v>
      </c>
      <c r="L40" s="148" t="s">
        <v>246</v>
      </c>
      <c r="M40" s="166">
        <v>1956</v>
      </c>
      <c r="N40" s="179" t="s">
        <v>35</v>
      </c>
      <c r="O40" s="54" t="s">
        <v>73</v>
      </c>
      <c r="P40" s="53" t="s">
        <v>1846</v>
      </c>
      <c r="Q40" s="197"/>
      <c r="R40" s="198" t="s">
        <v>89</v>
      </c>
      <c r="S40" s="198" t="s">
        <v>35</v>
      </c>
      <c r="T40" s="148" t="s">
        <v>35</v>
      </c>
      <c r="U40" s="148" t="s">
        <v>35</v>
      </c>
      <c r="V40" s="148" t="s">
        <v>35</v>
      </c>
    </row>
    <row r="41" spans="1:22" ht="76.5">
      <c r="A41" s="135">
        <v>40</v>
      </c>
      <c r="B41" s="45" t="s">
        <v>363</v>
      </c>
      <c r="C41" s="148" t="s">
        <v>364</v>
      </c>
      <c r="D41" s="204" t="s">
        <v>227</v>
      </c>
      <c r="E41" s="148" t="s">
        <v>228</v>
      </c>
      <c r="F41" s="148" t="s">
        <v>188</v>
      </c>
      <c r="G41" s="148" t="s">
        <v>365</v>
      </c>
      <c r="H41" s="148" t="s">
        <v>257</v>
      </c>
      <c r="I41" s="313">
        <v>289.24</v>
      </c>
      <c r="J41" s="318">
        <v>289.24</v>
      </c>
      <c r="K41" s="341">
        <v>289.24</v>
      </c>
      <c r="L41" s="148" t="s">
        <v>246</v>
      </c>
      <c r="M41" s="166">
        <v>1956</v>
      </c>
      <c r="N41" s="179" t="s">
        <v>35</v>
      </c>
      <c r="O41" s="54" t="s">
        <v>73</v>
      </c>
      <c r="P41" s="53" t="s">
        <v>1846</v>
      </c>
      <c r="Q41" s="197"/>
      <c r="R41" s="198" t="s">
        <v>89</v>
      </c>
      <c r="S41" s="198" t="s">
        <v>35</v>
      </c>
      <c r="T41" s="148" t="s">
        <v>35</v>
      </c>
      <c r="U41" s="148" t="s">
        <v>35</v>
      </c>
      <c r="V41" s="148" t="s">
        <v>35</v>
      </c>
    </row>
    <row r="42" spans="1:22" ht="76.5">
      <c r="A42" s="135">
        <v>41</v>
      </c>
      <c r="B42" s="45" t="s">
        <v>367</v>
      </c>
      <c r="C42" s="148" t="s">
        <v>368</v>
      </c>
      <c r="D42" s="204" t="s">
        <v>227</v>
      </c>
      <c r="E42" s="148" t="s">
        <v>228</v>
      </c>
      <c r="F42" s="53" t="s">
        <v>164</v>
      </c>
      <c r="G42" s="148" t="s">
        <v>369</v>
      </c>
      <c r="H42" s="148" t="s">
        <v>370</v>
      </c>
      <c r="I42" s="313">
        <v>5201.3100000000004</v>
      </c>
      <c r="J42" s="318">
        <v>5201.3100000000004</v>
      </c>
      <c r="K42" s="341">
        <v>5201.3100000000004</v>
      </c>
      <c r="L42" s="148" t="s">
        <v>246</v>
      </c>
      <c r="M42" s="166">
        <v>1956</v>
      </c>
      <c r="N42" s="179" t="s">
        <v>35</v>
      </c>
      <c r="O42" s="54" t="s">
        <v>73</v>
      </c>
      <c r="P42" s="53" t="s">
        <v>1846</v>
      </c>
      <c r="Q42" s="197"/>
      <c r="R42" s="198" t="s">
        <v>89</v>
      </c>
      <c r="S42" s="198" t="s">
        <v>35</v>
      </c>
      <c r="T42" s="148" t="s">
        <v>35</v>
      </c>
      <c r="U42" s="148" t="s">
        <v>35</v>
      </c>
      <c r="V42" s="148" t="s">
        <v>35</v>
      </c>
    </row>
    <row r="43" spans="1:22" ht="89.25">
      <c r="A43" s="135">
        <v>42</v>
      </c>
      <c r="B43" s="45" t="s">
        <v>319</v>
      </c>
      <c r="C43" s="170" t="s">
        <v>1998</v>
      </c>
      <c r="D43" s="148" t="s">
        <v>30</v>
      </c>
      <c r="E43" s="166" t="s">
        <v>31</v>
      </c>
      <c r="F43" s="148" t="s">
        <v>321</v>
      </c>
      <c r="G43" s="148" t="s">
        <v>322</v>
      </c>
      <c r="H43" s="148" t="s">
        <v>323</v>
      </c>
      <c r="I43" s="316">
        <v>1049.5181829999999</v>
      </c>
      <c r="J43" s="317">
        <v>1049.5181829999999</v>
      </c>
      <c r="K43" s="344">
        <v>1049.5181829999999</v>
      </c>
      <c r="L43" s="148" t="s">
        <v>324</v>
      </c>
      <c r="M43" s="166">
        <v>1963</v>
      </c>
      <c r="N43" s="179" t="s">
        <v>35</v>
      </c>
      <c r="O43" s="50" t="s">
        <v>1999</v>
      </c>
      <c r="P43" s="53" t="s">
        <v>1995</v>
      </c>
      <c r="Q43" s="53" t="s">
        <v>2000</v>
      </c>
      <c r="R43" s="198" t="s">
        <v>89</v>
      </c>
      <c r="S43" s="199" t="s">
        <v>90</v>
      </c>
      <c r="T43" s="148" t="s">
        <v>35</v>
      </c>
      <c r="U43" s="148" t="s">
        <v>35</v>
      </c>
      <c r="V43" s="148" t="s">
        <v>35</v>
      </c>
    </row>
    <row r="44" spans="1:22" ht="89.25">
      <c r="A44" s="135">
        <v>43</v>
      </c>
      <c r="B44" s="47" t="s">
        <v>372</v>
      </c>
      <c r="C44" s="148" t="s">
        <v>373</v>
      </c>
      <c r="D44" s="148" t="s">
        <v>30</v>
      </c>
      <c r="E44" s="166" t="s">
        <v>31</v>
      </c>
      <c r="F44" s="53" t="s">
        <v>155</v>
      </c>
      <c r="G44" s="148" t="s">
        <v>374</v>
      </c>
      <c r="H44" s="148" t="s">
        <v>197</v>
      </c>
      <c r="I44" s="313">
        <v>50</v>
      </c>
      <c r="J44" s="318">
        <v>50</v>
      </c>
      <c r="K44" s="341">
        <v>50</v>
      </c>
      <c r="L44" s="148" t="s">
        <v>2001</v>
      </c>
      <c r="M44" s="166">
        <v>1963</v>
      </c>
      <c r="N44" s="179" t="s">
        <v>35</v>
      </c>
      <c r="O44" s="52" t="s">
        <v>1852</v>
      </c>
      <c r="P44" s="53" t="s">
        <v>1846</v>
      </c>
      <c r="Q44" s="197"/>
      <c r="R44" s="198" t="s">
        <v>89</v>
      </c>
      <c r="S44" s="198" t="s">
        <v>35</v>
      </c>
      <c r="T44" s="148" t="s">
        <v>35</v>
      </c>
      <c r="U44" s="148" t="s">
        <v>35</v>
      </c>
      <c r="V44" s="148" t="s">
        <v>35</v>
      </c>
    </row>
    <row r="45" spans="1:22" ht="63.75">
      <c r="A45" s="135">
        <v>44</v>
      </c>
      <c r="B45" s="45" t="s">
        <v>379</v>
      </c>
      <c r="C45" s="148" t="s">
        <v>380</v>
      </c>
      <c r="D45" s="148" t="s">
        <v>30</v>
      </c>
      <c r="E45" s="166" t="s">
        <v>31</v>
      </c>
      <c r="F45" s="148" t="s">
        <v>321</v>
      </c>
      <c r="G45" s="148" t="s">
        <v>381</v>
      </c>
      <c r="H45" s="148" t="s">
        <v>382</v>
      </c>
      <c r="I45" s="313">
        <v>2000</v>
      </c>
      <c r="J45" s="318">
        <v>2000</v>
      </c>
      <c r="K45" s="341">
        <v>2000</v>
      </c>
      <c r="L45" s="148" t="s">
        <v>383</v>
      </c>
      <c r="M45" s="166">
        <v>1969</v>
      </c>
      <c r="N45" s="179" t="s">
        <v>35</v>
      </c>
      <c r="O45" s="54" t="s">
        <v>73</v>
      </c>
      <c r="P45" s="53" t="s">
        <v>1846</v>
      </c>
      <c r="Q45" s="53" t="s">
        <v>1994</v>
      </c>
      <c r="R45" s="194" t="s">
        <v>38</v>
      </c>
      <c r="S45" s="194" t="s">
        <v>39</v>
      </c>
      <c r="T45" s="200" t="s">
        <v>384</v>
      </c>
      <c r="U45" s="195">
        <v>2004</v>
      </c>
      <c r="V45" s="196" t="s">
        <v>55</v>
      </c>
    </row>
    <row r="46" spans="1:22" ht="25.5">
      <c r="A46" s="135">
        <v>45</v>
      </c>
      <c r="B46" s="45" t="s">
        <v>386</v>
      </c>
      <c r="C46" s="148" t="s">
        <v>387</v>
      </c>
      <c r="D46" s="148" t="s">
        <v>30</v>
      </c>
      <c r="E46" s="166" t="s">
        <v>31</v>
      </c>
      <c r="F46" s="148" t="s">
        <v>210</v>
      </c>
      <c r="G46" s="148" t="s">
        <v>388</v>
      </c>
      <c r="H46" s="148" t="s">
        <v>212</v>
      </c>
      <c r="I46" s="313">
        <v>8</v>
      </c>
      <c r="J46" s="318">
        <v>8</v>
      </c>
      <c r="K46" s="341">
        <v>8</v>
      </c>
      <c r="L46" s="148" t="s">
        <v>389</v>
      </c>
      <c r="M46" s="166">
        <v>1972</v>
      </c>
      <c r="N46" s="179" t="s">
        <v>35</v>
      </c>
      <c r="O46" s="54" t="s">
        <v>73</v>
      </c>
      <c r="P46" s="53" t="s">
        <v>1846</v>
      </c>
      <c r="Q46" s="197"/>
      <c r="R46" s="198" t="s">
        <v>89</v>
      </c>
      <c r="S46" s="198" t="s">
        <v>35</v>
      </c>
      <c r="T46" s="148" t="s">
        <v>35</v>
      </c>
      <c r="U46" s="148" t="s">
        <v>35</v>
      </c>
      <c r="V46" s="148" t="s">
        <v>35</v>
      </c>
    </row>
    <row r="47" spans="1:22" ht="63.75">
      <c r="A47" s="135">
        <v>46</v>
      </c>
      <c r="B47" s="45" t="s">
        <v>391</v>
      </c>
      <c r="C47" s="200" t="s">
        <v>392</v>
      </c>
      <c r="D47" s="148" t="s">
        <v>48</v>
      </c>
      <c r="E47" s="166" t="s">
        <v>49</v>
      </c>
      <c r="F47" s="148" t="s">
        <v>180</v>
      </c>
      <c r="G47" s="148" t="s">
        <v>393</v>
      </c>
      <c r="H47" s="148" t="s">
        <v>394</v>
      </c>
      <c r="I47" s="316">
        <v>983.29200000000003</v>
      </c>
      <c r="J47" s="317">
        <v>983.29200000000003</v>
      </c>
      <c r="K47" s="344">
        <v>983.29200000000003</v>
      </c>
      <c r="L47" s="148" t="s">
        <v>395</v>
      </c>
      <c r="M47" s="166">
        <v>1977</v>
      </c>
      <c r="N47" s="179" t="s">
        <v>35</v>
      </c>
      <c r="O47" s="46" t="s">
        <v>51</v>
      </c>
      <c r="P47" s="53" t="s">
        <v>2002</v>
      </c>
      <c r="Q47" s="53"/>
      <c r="R47" s="190" t="s">
        <v>38</v>
      </c>
      <c r="S47" s="194" t="s">
        <v>396</v>
      </c>
      <c r="T47" s="200" t="s">
        <v>397</v>
      </c>
      <c r="U47" s="195">
        <v>2000</v>
      </c>
      <c r="V47" s="196" t="s">
        <v>398</v>
      </c>
    </row>
    <row r="48" spans="1:22" ht="63.75">
      <c r="A48" s="135">
        <v>47</v>
      </c>
      <c r="B48" s="47" t="s">
        <v>401</v>
      </c>
      <c r="C48" s="148" t="s">
        <v>2003</v>
      </c>
      <c r="D48" s="148" t="s">
        <v>403</v>
      </c>
      <c r="E48" s="166" t="s">
        <v>127</v>
      </c>
      <c r="F48" s="148" t="s">
        <v>188</v>
      </c>
      <c r="G48" s="148" t="s">
        <v>404</v>
      </c>
      <c r="H48" s="148" t="s">
        <v>190</v>
      </c>
      <c r="I48" s="313">
        <v>2800</v>
      </c>
      <c r="J48" s="318">
        <v>2800</v>
      </c>
      <c r="K48" s="341">
        <v>2800</v>
      </c>
      <c r="L48" s="148" t="s">
        <v>405</v>
      </c>
      <c r="M48" s="166">
        <v>1977</v>
      </c>
      <c r="N48" s="179" t="s">
        <v>35</v>
      </c>
      <c r="O48" s="46" t="s">
        <v>51</v>
      </c>
      <c r="P48" s="53" t="s">
        <v>2002</v>
      </c>
      <c r="Q48" s="53"/>
      <c r="R48" s="190" t="s">
        <v>38</v>
      </c>
      <c r="S48" s="194" t="s">
        <v>39</v>
      </c>
      <c r="T48" s="200" t="s">
        <v>406</v>
      </c>
      <c r="U48" s="195">
        <v>2000</v>
      </c>
      <c r="V48" s="196" t="s">
        <v>407</v>
      </c>
    </row>
    <row r="49" spans="1:22" ht="25.5">
      <c r="A49" s="135">
        <v>48</v>
      </c>
      <c r="B49" s="45" t="s">
        <v>408</v>
      </c>
      <c r="C49" s="148" t="s">
        <v>409</v>
      </c>
      <c r="D49" s="148" t="s">
        <v>30</v>
      </c>
      <c r="E49" s="166" t="s">
        <v>31</v>
      </c>
      <c r="F49" s="148" t="s">
        <v>32</v>
      </c>
      <c r="G49" s="148" t="s">
        <v>118</v>
      </c>
      <c r="H49" s="148" t="s">
        <v>32</v>
      </c>
      <c r="I49" s="313">
        <v>1105</v>
      </c>
      <c r="J49" s="340">
        <v>0</v>
      </c>
      <c r="K49" s="341">
        <v>1105</v>
      </c>
      <c r="L49" s="148" t="s">
        <v>410</v>
      </c>
      <c r="M49" s="166">
        <v>1980</v>
      </c>
      <c r="N49" s="179" t="s">
        <v>35</v>
      </c>
      <c r="O49" s="52" t="s">
        <v>191</v>
      </c>
      <c r="P49" s="53" t="s">
        <v>1846</v>
      </c>
      <c r="Q49" s="197"/>
      <c r="R49" s="198" t="s">
        <v>89</v>
      </c>
      <c r="S49" s="198" t="s">
        <v>35</v>
      </c>
      <c r="T49" s="148" t="s">
        <v>35</v>
      </c>
      <c r="U49" s="148" t="s">
        <v>35</v>
      </c>
      <c r="V49" s="148" t="s">
        <v>35</v>
      </c>
    </row>
    <row r="50" spans="1:22" ht="51">
      <c r="A50" s="135">
        <v>49</v>
      </c>
      <c r="B50" s="47" t="s">
        <v>413</v>
      </c>
      <c r="C50" s="148" t="s">
        <v>414</v>
      </c>
      <c r="D50" s="148" t="s">
        <v>30</v>
      </c>
      <c r="E50" s="166" t="s">
        <v>31</v>
      </c>
      <c r="F50" s="148" t="s">
        <v>180</v>
      </c>
      <c r="G50" s="148" t="s">
        <v>415</v>
      </c>
      <c r="H50" s="148" t="s">
        <v>182</v>
      </c>
      <c r="I50" s="313">
        <v>82</v>
      </c>
      <c r="J50" s="318">
        <v>82</v>
      </c>
      <c r="K50" s="341">
        <v>82</v>
      </c>
      <c r="L50" s="148" t="s">
        <v>2004</v>
      </c>
      <c r="M50" s="166">
        <v>1980</v>
      </c>
      <c r="N50" s="179" t="s">
        <v>35</v>
      </c>
      <c r="O50" s="52" t="s">
        <v>191</v>
      </c>
      <c r="P50" s="53" t="s">
        <v>1846</v>
      </c>
      <c r="Q50" s="53" t="s">
        <v>1994</v>
      </c>
      <c r="R50" s="198" t="s">
        <v>89</v>
      </c>
      <c r="S50" s="198" t="s">
        <v>35</v>
      </c>
      <c r="T50" s="148" t="s">
        <v>35</v>
      </c>
      <c r="U50" s="148" t="s">
        <v>35</v>
      </c>
      <c r="V50" s="148" t="s">
        <v>35</v>
      </c>
    </row>
    <row r="51" spans="1:22" ht="51">
      <c r="A51" s="135">
        <v>50</v>
      </c>
      <c r="B51" s="45" t="s">
        <v>418</v>
      </c>
      <c r="C51" s="170" t="s">
        <v>419</v>
      </c>
      <c r="D51" s="148" t="s">
        <v>2005</v>
      </c>
      <c r="E51" s="166" t="s">
        <v>106</v>
      </c>
      <c r="F51" s="148" t="s">
        <v>172</v>
      </c>
      <c r="G51" s="148" t="s">
        <v>420</v>
      </c>
      <c r="H51" s="148" t="s">
        <v>421</v>
      </c>
      <c r="I51" s="313">
        <v>22114.45</v>
      </c>
      <c r="J51" s="318">
        <v>22114.45</v>
      </c>
      <c r="K51" s="341">
        <v>22114.45</v>
      </c>
      <c r="L51" s="148" t="s">
        <v>422</v>
      </c>
      <c r="M51" s="166">
        <v>1987</v>
      </c>
      <c r="N51" s="179" t="s">
        <v>35</v>
      </c>
      <c r="O51" s="50" t="s">
        <v>423</v>
      </c>
      <c r="P51" s="53" t="s">
        <v>1995</v>
      </c>
      <c r="Q51" s="821" t="s">
        <v>2000</v>
      </c>
      <c r="R51" s="198" t="s">
        <v>89</v>
      </c>
      <c r="S51" s="199" t="s">
        <v>90</v>
      </c>
      <c r="T51" s="148" t="s">
        <v>35</v>
      </c>
      <c r="U51" s="148" t="s">
        <v>35</v>
      </c>
      <c r="V51" s="148" t="s">
        <v>35</v>
      </c>
    </row>
    <row r="52" spans="1:22">
      <c r="I52" s="362">
        <f>I2+I3+I4+I5+I6+I7+I8+I9+I10+I11+I13+I43+I44+I45+I46+I47+I48+I49+I50+I51</f>
        <v>223129.26018300001</v>
      </c>
    </row>
    <row r="54" spans="1:22">
      <c r="D54" s="135">
        <v>28</v>
      </c>
      <c r="E54" s="166" t="s">
        <v>2006</v>
      </c>
    </row>
    <row r="55" spans="1:22" ht="38.25">
      <c r="D55" s="135">
        <v>1</v>
      </c>
      <c r="E55" s="148" t="s">
        <v>2007</v>
      </c>
    </row>
    <row r="56" spans="1:22">
      <c r="D56" s="135">
        <v>1</v>
      </c>
      <c r="E56" s="166" t="s">
        <v>239</v>
      </c>
    </row>
    <row r="57" spans="1:22">
      <c r="D57" s="489">
        <f>SUM(D54:D56)</f>
        <v>30</v>
      </c>
    </row>
    <row r="59" spans="1:22">
      <c r="B59" s="120">
        <f>50-D57</f>
        <v>20</v>
      </c>
      <c r="C59" t="s">
        <v>2008</v>
      </c>
      <c r="F59">
        <f>(I52*100)/10888900</f>
        <v>2.0491441760232898</v>
      </c>
      <c r="G59" t="s">
        <v>2009</v>
      </c>
    </row>
  </sheetData>
  <autoFilter ref="A1:V52" xr:uid="{00000000-0009-0000-0000-000003000000}"/>
  <pageMargins left="0.69930555555555596" right="0.69930555555555596"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4506668294322"/>
  </sheetPr>
  <dimension ref="A1:AM243"/>
  <sheetViews>
    <sheetView zoomScale="90" zoomScaleNormal="90" workbookViewId="0">
      <selection activeCell="A5" sqref="A5"/>
    </sheetView>
  </sheetViews>
  <sheetFormatPr baseColWidth="10" defaultColWidth="9" defaultRowHeight="15"/>
  <cols>
    <col min="1" max="1" width="12.42578125" customWidth="1"/>
    <col min="2" max="2" width="16.85546875" customWidth="1"/>
    <col min="3" max="3" width="11.140625" customWidth="1"/>
    <col min="4" max="4" width="8" customWidth="1"/>
    <col min="5" max="5" width="6.5703125" customWidth="1"/>
    <col min="6" max="6" width="8" customWidth="1"/>
    <col min="7" max="7" width="4.140625" customWidth="1"/>
    <col min="8" max="8" width="9" customWidth="1"/>
    <col min="9" max="9" width="4.140625" customWidth="1"/>
    <col min="10" max="10" width="6" customWidth="1"/>
    <col min="11" max="11" width="4.140625" customWidth="1"/>
    <col min="12" max="12" width="10.85546875" customWidth="1"/>
    <col min="13" max="13" width="6.28515625" customWidth="1"/>
    <col min="14" max="14" width="7.7109375" customWidth="1"/>
    <col min="15" max="16" width="7" customWidth="1"/>
    <col min="17" max="17" width="5.7109375" customWidth="1"/>
    <col min="18" max="18" width="10.5703125" customWidth="1"/>
    <col min="19" max="19" width="6.28515625" customWidth="1"/>
    <col min="20" max="20" width="9.85546875" customWidth="1"/>
    <col min="21" max="21" width="7.28515625" customWidth="1"/>
    <col min="22" max="22" width="8" customWidth="1"/>
    <col min="23" max="23" width="4.140625" customWidth="1"/>
    <col min="24" max="24" width="11.7109375" customWidth="1"/>
    <col min="25" max="25" width="4.140625" customWidth="1"/>
    <col min="26" max="26" width="8.7109375" customWidth="1"/>
    <col min="27" max="27" width="4.140625" customWidth="1"/>
    <col min="28" max="28" width="10.85546875" customWidth="1"/>
    <col min="29" max="29" width="4.140625" customWidth="1"/>
    <col min="30" max="30" width="8" customWidth="1"/>
    <col min="31" max="31" width="4.140625" customWidth="1"/>
    <col min="32" max="32" width="10.140625" customWidth="1"/>
    <col min="33" max="33" width="6" customWidth="1"/>
    <col min="34" max="34" width="9.85546875" customWidth="1"/>
    <col min="36" max="36" width="13.28515625" customWidth="1"/>
    <col min="38" max="38" width="20.28515625" customWidth="1"/>
    <col min="39" max="39" width="11.7109375" customWidth="1"/>
  </cols>
  <sheetData>
    <row r="1" spans="2:39">
      <c r="C1" s="1120" t="s">
        <v>2010</v>
      </c>
      <c r="D1" s="1121"/>
      <c r="E1" s="1121"/>
      <c r="F1" s="1121"/>
      <c r="G1" s="1121"/>
      <c r="H1" s="1121"/>
      <c r="I1" s="1121"/>
      <c r="J1" s="1121"/>
      <c r="K1" s="1121"/>
      <c r="L1" s="1121"/>
      <c r="M1" s="1121"/>
      <c r="N1" s="1121"/>
      <c r="O1" s="1121"/>
      <c r="P1" s="1121"/>
      <c r="Q1" s="1121"/>
      <c r="R1" s="1121"/>
      <c r="S1" s="1121"/>
      <c r="T1" s="1121"/>
      <c r="U1" s="1121"/>
      <c r="V1" s="1121"/>
      <c r="W1" s="1121"/>
      <c r="X1" s="1121"/>
      <c r="Y1" s="1121"/>
      <c r="Z1" s="1121"/>
      <c r="AA1" s="1121"/>
      <c r="AB1" s="1121"/>
      <c r="AC1" s="1121"/>
      <c r="AD1" s="1121"/>
      <c r="AE1" s="1121"/>
      <c r="AF1" s="1122"/>
    </row>
    <row r="2" spans="2:39" ht="61.5" customHeight="1">
      <c r="C2" s="1123" t="s">
        <v>2011</v>
      </c>
      <c r="D2" s="1124"/>
      <c r="E2" s="1125" t="s">
        <v>2012</v>
      </c>
      <c r="F2" s="1126"/>
      <c r="G2" s="1116" t="s">
        <v>30</v>
      </c>
      <c r="H2" s="1124"/>
      <c r="I2" s="1125" t="s">
        <v>856</v>
      </c>
      <c r="J2" s="1126"/>
      <c r="K2" s="1116" t="s">
        <v>496</v>
      </c>
      <c r="L2" s="1124"/>
      <c r="M2" s="1125" t="s">
        <v>2013</v>
      </c>
      <c r="N2" s="1126"/>
      <c r="O2" s="1116" t="s">
        <v>847</v>
      </c>
      <c r="P2" s="1124"/>
      <c r="Q2" s="1125" t="s">
        <v>1587</v>
      </c>
      <c r="R2" s="1126"/>
      <c r="S2" s="1116" t="s">
        <v>474</v>
      </c>
      <c r="T2" s="1124"/>
      <c r="U2" s="1125" t="s">
        <v>507</v>
      </c>
      <c r="V2" s="1126"/>
      <c r="W2" s="1116" t="s">
        <v>126</v>
      </c>
      <c r="X2" s="1124"/>
      <c r="Y2" s="1125" t="s">
        <v>2014</v>
      </c>
      <c r="Z2" s="1126"/>
      <c r="AA2" s="1116" t="s">
        <v>2015</v>
      </c>
      <c r="AB2" s="1124"/>
      <c r="AC2" s="1127" t="s">
        <v>2016</v>
      </c>
      <c r="AD2" s="1128"/>
      <c r="AE2" s="1116" t="s">
        <v>2017</v>
      </c>
      <c r="AF2" s="1117"/>
      <c r="AG2" s="1118" t="s">
        <v>227</v>
      </c>
      <c r="AH2" s="1119"/>
    </row>
    <row r="3" spans="2:39">
      <c r="B3" s="741" t="s">
        <v>2018</v>
      </c>
      <c r="C3" s="742" t="s">
        <v>0</v>
      </c>
      <c r="D3" s="743" t="s">
        <v>2019</v>
      </c>
      <c r="E3" s="744" t="s">
        <v>0</v>
      </c>
      <c r="F3" s="745" t="s">
        <v>2019</v>
      </c>
      <c r="G3" s="746" t="s">
        <v>0</v>
      </c>
      <c r="H3" s="743" t="s">
        <v>2019</v>
      </c>
      <c r="I3" s="744" t="s">
        <v>0</v>
      </c>
      <c r="J3" s="745" t="s">
        <v>2019</v>
      </c>
      <c r="K3" s="746" t="s">
        <v>0</v>
      </c>
      <c r="L3" s="743" t="s">
        <v>2019</v>
      </c>
      <c r="M3" s="744" t="s">
        <v>0</v>
      </c>
      <c r="N3" s="745" t="s">
        <v>2019</v>
      </c>
      <c r="O3" s="746" t="s">
        <v>0</v>
      </c>
      <c r="P3" s="743" t="s">
        <v>2019</v>
      </c>
      <c r="Q3" s="744" t="s">
        <v>0</v>
      </c>
      <c r="R3" s="745" t="s">
        <v>2019</v>
      </c>
      <c r="S3" s="746" t="s">
        <v>0</v>
      </c>
      <c r="T3" s="743" t="s">
        <v>2019</v>
      </c>
      <c r="U3" s="744" t="s">
        <v>0</v>
      </c>
      <c r="V3" s="745" t="s">
        <v>2019</v>
      </c>
      <c r="W3" s="746" t="s">
        <v>0</v>
      </c>
      <c r="X3" s="743" t="s">
        <v>2019</v>
      </c>
      <c r="Y3" s="744" t="s">
        <v>0</v>
      </c>
      <c r="Z3" s="745" t="s">
        <v>2019</v>
      </c>
      <c r="AA3" s="746" t="s">
        <v>0</v>
      </c>
      <c r="AB3" s="743" t="s">
        <v>2019</v>
      </c>
      <c r="AC3" s="744" t="s">
        <v>0</v>
      </c>
      <c r="AD3" s="745" t="s">
        <v>2019</v>
      </c>
      <c r="AE3" s="746" t="s">
        <v>0</v>
      </c>
      <c r="AF3" s="771" t="s">
        <v>2019</v>
      </c>
      <c r="AG3" s="777" t="s">
        <v>0</v>
      </c>
      <c r="AH3" s="778" t="s">
        <v>2019</v>
      </c>
      <c r="AI3" s="779" t="s">
        <v>0</v>
      </c>
      <c r="AJ3" s="780" t="s">
        <v>2019</v>
      </c>
      <c r="AL3" s="29"/>
      <c r="AM3" s="29"/>
    </row>
    <row r="4" spans="2:39">
      <c r="B4" s="747" t="s">
        <v>1793</v>
      </c>
      <c r="C4" s="748">
        <v>4</v>
      </c>
      <c r="D4" s="749">
        <v>0</v>
      </c>
      <c r="E4" s="750">
        <v>3</v>
      </c>
      <c r="F4" s="751">
        <v>64649.4</v>
      </c>
      <c r="G4" s="748">
        <v>6</v>
      </c>
      <c r="H4" s="749">
        <v>0</v>
      </c>
      <c r="I4" s="750">
        <v>0</v>
      </c>
      <c r="J4" s="751">
        <v>0</v>
      </c>
      <c r="K4" s="748">
        <v>21</v>
      </c>
      <c r="L4" s="749">
        <v>588.03</v>
      </c>
      <c r="M4" s="750">
        <v>0</v>
      </c>
      <c r="N4" s="751">
        <v>0</v>
      </c>
      <c r="O4" s="748">
        <v>0</v>
      </c>
      <c r="P4" s="749">
        <v>0</v>
      </c>
      <c r="Q4" s="750">
        <v>0</v>
      </c>
      <c r="R4" s="751">
        <v>0</v>
      </c>
      <c r="S4" s="748">
        <v>0</v>
      </c>
      <c r="T4" s="749">
        <v>0</v>
      </c>
      <c r="U4" s="750">
        <v>0</v>
      </c>
      <c r="V4" s="751">
        <v>0</v>
      </c>
      <c r="W4" s="748">
        <v>4</v>
      </c>
      <c r="X4" s="749">
        <v>162166.6</v>
      </c>
      <c r="Y4" s="750">
        <v>1</v>
      </c>
      <c r="Z4" s="751">
        <v>60878</v>
      </c>
      <c r="AA4" s="748">
        <v>2</v>
      </c>
      <c r="AB4" s="749">
        <v>2283889</v>
      </c>
      <c r="AC4" s="750">
        <v>0</v>
      </c>
      <c r="AD4" s="751">
        <v>0</v>
      </c>
      <c r="AE4" s="748">
        <v>22</v>
      </c>
      <c r="AF4" s="772">
        <v>2790.32</v>
      </c>
      <c r="AG4" s="781">
        <v>0</v>
      </c>
      <c r="AH4" s="782">
        <v>0</v>
      </c>
      <c r="AI4" s="783">
        <f>C4+E4+G4+I4+K4+M4+O4+Q4+S4+U4+W4+Y4+AA4+AC4+AE4+AG4</f>
        <v>63</v>
      </c>
      <c r="AJ4" s="784">
        <f>D4+F4+H4+J4+L4+N4+P4+R4+T4+V4+X4+Z4+AB4+AD4+AF4+AH4</f>
        <v>2574961.35</v>
      </c>
      <c r="AL4" s="29" t="s">
        <v>1793</v>
      </c>
      <c r="AM4" s="629">
        <f>'LISTADO SIGAP'!I371</f>
        <v>2574961.3499999992</v>
      </c>
    </row>
    <row r="5" spans="2:39">
      <c r="B5" s="752" t="s">
        <v>1795</v>
      </c>
      <c r="C5" s="289">
        <v>1</v>
      </c>
      <c r="D5" s="753">
        <v>983.29200000000003</v>
      </c>
      <c r="E5" s="135">
        <v>1</v>
      </c>
      <c r="F5" s="754">
        <v>1837.55</v>
      </c>
      <c r="G5" s="289">
        <v>3</v>
      </c>
      <c r="H5" s="755">
        <v>14393.26</v>
      </c>
      <c r="I5" s="135">
        <v>1</v>
      </c>
      <c r="J5" s="754">
        <v>38.28</v>
      </c>
      <c r="K5" s="289">
        <v>3</v>
      </c>
      <c r="L5" s="753">
        <f>87.102+5.5</f>
        <v>92.602000000000004</v>
      </c>
      <c r="M5" s="135">
        <v>0</v>
      </c>
      <c r="N5" s="754">
        <v>0</v>
      </c>
      <c r="O5" s="289">
        <v>2</v>
      </c>
      <c r="P5" s="755">
        <v>158.49700000000001</v>
      </c>
      <c r="Q5" s="135">
        <v>0</v>
      </c>
      <c r="R5" s="754">
        <v>0</v>
      </c>
      <c r="S5" s="289">
        <v>0</v>
      </c>
      <c r="T5" s="755">
        <v>0</v>
      </c>
      <c r="U5" s="135">
        <v>0</v>
      </c>
      <c r="V5" s="754">
        <v>0</v>
      </c>
      <c r="W5" s="289">
        <v>0</v>
      </c>
      <c r="X5" s="755">
        <v>0</v>
      </c>
      <c r="Y5" s="135">
        <v>0</v>
      </c>
      <c r="Z5" s="754">
        <v>0</v>
      </c>
      <c r="AA5" s="289">
        <v>0</v>
      </c>
      <c r="AB5" s="755">
        <v>0</v>
      </c>
      <c r="AC5" s="135">
        <v>0</v>
      </c>
      <c r="AD5" s="754">
        <v>0</v>
      </c>
      <c r="AE5" s="289">
        <v>31</v>
      </c>
      <c r="AF5" s="773">
        <v>6515.58</v>
      </c>
      <c r="AG5" s="127">
        <v>0</v>
      </c>
      <c r="AH5" s="785">
        <v>0</v>
      </c>
      <c r="AI5" s="786">
        <f>C5+E5+G5+I5+K5+O5+AE5</f>
        <v>42</v>
      </c>
      <c r="AJ5" s="787">
        <f>D5+F5+H5+J5+L5+P5+AF5</f>
        <v>24019.060999999994</v>
      </c>
      <c r="AK5" s="788"/>
      <c r="AL5" s="29" t="s">
        <v>1795</v>
      </c>
      <c r="AM5" s="629">
        <f>'LISTADO SIGAP'!I372</f>
        <v>24023.734757999999</v>
      </c>
    </row>
    <row r="6" spans="2:39">
      <c r="B6" s="752" t="s">
        <v>1797</v>
      </c>
      <c r="C6" s="289">
        <v>0</v>
      </c>
      <c r="D6" s="755">
        <v>0</v>
      </c>
      <c r="E6" s="135">
        <v>0</v>
      </c>
      <c r="F6" s="754">
        <v>0</v>
      </c>
      <c r="G6" s="289">
        <v>2</v>
      </c>
      <c r="H6" s="755">
        <v>65.209999999999994</v>
      </c>
      <c r="I6" s="135">
        <v>0</v>
      </c>
      <c r="J6" s="754">
        <v>0</v>
      </c>
      <c r="K6" s="289">
        <v>10</v>
      </c>
      <c r="L6" s="770">
        <f>1929.76+'LISTADO SIGAP'!J346</f>
        <v>2325.31</v>
      </c>
      <c r="M6" s="135">
        <v>0</v>
      </c>
      <c r="N6" s="754">
        <v>0</v>
      </c>
      <c r="O6" s="289">
        <v>0</v>
      </c>
      <c r="P6" s="755">
        <v>0</v>
      </c>
      <c r="Q6" s="135">
        <v>0</v>
      </c>
      <c r="R6" s="754">
        <v>0</v>
      </c>
      <c r="S6" s="289">
        <v>0</v>
      </c>
      <c r="T6" s="755">
        <v>0</v>
      </c>
      <c r="U6" s="135">
        <v>0</v>
      </c>
      <c r="V6" s="754">
        <v>0</v>
      </c>
      <c r="W6" s="289">
        <v>0</v>
      </c>
      <c r="X6" s="755">
        <v>0</v>
      </c>
      <c r="Y6" s="135">
        <v>0</v>
      </c>
      <c r="Z6" s="754">
        <v>0</v>
      </c>
      <c r="AA6" s="289">
        <v>0</v>
      </c>
      <c r="AB6" s="755">
        <v>0</v>
      </c>
      <c r="AC6" s="135">
        <v>1</v>
      </c>
      <c r="AD6" s="754">
        <v>122900</v>
      </c>
      <c r="AE6" s="289">
        <v>15</v>
      </c>
      <c r="AF6" s="774">
        <v>592.24130000000002</v>
      </c>
      <c r="AG6" s="127">
        <v>0</v>
      </c>
      <c r="AH6" s="785">
        <v>0</v>
      </c>
      <c r="AI6" s="786">
        <f>C6+E6+G6+I6+K6+O6+W6+Y6+AA6+AC6+AE6</f>
        <v>28</v>
      </c>
      <c r="AJ6" s="787">
        <f>D6+F6+H6+J6+L6+P6+X6+Z6+AB6+AD6+AF6</f>
        <v>125882.7613</v>
      </c>
      <c r="AL6" s="29" t="s">
        <v>1797</v>
      </c>
      <c r="AM6" s="629">
        <f>'LISTADO SIGAP'!I373</f>
        <v>125882.76000000001</v>
      </c>
    </row>
    <row r="7" spans="2:39" s="488" customFormat="1">
      <c r="B7" s="756" t="s">
        <v>164</v>
      </c>
      <c r="C7" s="289">
        <v>0</v>
      </c>
      <c r="D7" s="755">
        <v>0</v>
      </c>
      <c r="E7" s="515">
        <v>0</v>
      </c>
      <c r="F7" s="757">
        <v>0</v>
      </c>
      <c r="G7" s="289">
        <v>2</v>
      </c>
      <c r="H7" s="755">
        <v>240.48</v>
      </c>
      <c r="I7" s="515">
        <v>0</v>
      </c>
      <c r="J7" s="757">
        <v>0</v>
      </c>
      <c r="K7" s="289">
        <v>14</v>
      </c>
      <c r="L7" s="770">
        <f>(26828.94+0.45-46.02)-0.1464</f>
        <v>26783.223599999998</v>
      </c>
      <c r="M7" s="515">
        <v>0</v>
      </c>
      <c r="N7" s="757">
        <v>0</v>
      </c>
      <c r="O7" s="289">
        <v>0</v>
      </c>
      <c r="P7" s="755">
        <v>0</v>
      </c>
      <c r="Q7" s="515">
        <v>0</v>
      </c>
      <c r="R7" s="757">
        <v>0</v>
      </c>
      <c r="S7" s="289">
        <v>0</v>
      </c>
      <c r="T7" s="755">
        <v>0</v>
      </c>
      <c r="U7" s="515">
        <v>0</v>
      </c>
      <c r="V7" s="757">
        <v>0</v>
      </c>
      <c r="W7" s="289">
        <v>0</v>
      </c>
      <c r="X7" s="755">
        <v>0</v>
      </c>
      <c r="Y7" s="515">
        <v>0</v>
      </c>
      <c r="Z7" s="757">
        <v>0</v>
      </c>
      <c r="AA7" s="289">
        <v>0</v>
      </c>
      <c r="AB7" s="755">
        <v>0</v>
      </c>
      <c r="AC7" s="515">
        <v>0</v>
      </c>
      <c r="AD7" s="757">
        <v>0</v>
      </c>
      <c r="AE7" s="289">
        <v>12</v>
      </c>
      <c r="AF7" s="773">
        <v>4067.18</v>
      </c>
      <c r="AG7" s="715">
        <v>10</v>
      </c>
      <c r="AH7" s="789">
        <v>29963.06</v>
      </c>
      <c r="AI7" s="790">
        <f>C7+E7+G7+I7+K7+O7+W7+Y7+AA7+AC7+AE7+AG7</f>
        <v>38</v>
      </c>
      <c r="AJ7" s="791">
        <f>D7+F7+H7+J7+L7+P7+X7+Z7+AB7+AD7+AF7+AH7</f>
        <v>61053.943599999999</v>
      </c>
      <c r="AL7" s="792" t="s">
        <v>164</v>
      </c>
      <c r="AM7" s="793">
        <f>'LISTADO SIGAP'!I374</f>
        <v>61053.943599999999</v>
      </c>
    </row>
    <row r="8" spans="2:39">
      <c r="B8" s="752" t="s">
        <v>535</v>
      </c>
      <c r="C8" s="289">
        <v>0</v>
      </c>
      <c r="D8" s="755">
        <v>0</v>
      </c>
      <c r="E8" s="135">
        <v>0</v>
      </c>
      <c r="F8" s="754">
        <v>0</v>
      </c>
      <c r="G8" s="289">
        <v>0</v>
      </c>
      <c r="H8" s="755">
        <v>0</v>
      </c>
      <c r="I8" s="135">
        <v>0</v>
      </c>
      <c r="J8" s="754">
        <v>0</v>
      </c>
      <c r="K8" s="289">
        <v>16</v>
      </c>
      <c r="L8" s="753">
        <f>'LISTADO SIGAP'!J109+'LISTADO SIGAP'!J144+'LISTADO SIGAP'!J278+'LISTADO SIGAP'!J279+'LISTADO SIGAP'!J281+'LISTADO SIGAP'!J294+'LISTADO SIGAP'!J302+'LISTADO SIGAP'!J306+'LISTADO SIGAP'!J319+'LISTADO SIGAP'!J332+'LISTADO SIGAP'!J335+'LISTADO SIGAP'!J338+'LISTADO SIGAP'!J339+'LISTADO SIGAP'!J342+'LISTADO SIGAP'!J345+'LISTADO SIGAP'!J348</f>
        <v>10833.153999999999</v>
      </c>
      <c r="M8" s="135">
        <v>0</v>
      </c>
      <c r="N8" s="754">
        <v>0</v>
      </c>
      <c r="O8" s="289">
        <v>0</v>
      </c>
      <c r="P8" s="755">
        <v>0</v>
      </c>
      <c r="Q8" s="135">
        <v>0</v>
      </c>
      <c r="R8" s="754">
        <v>0</v>
      </c>
      <c r="S8" s="289">
        <v>0</v>
      </c>
      <c r="T8" s="755">
        <v>0</v>
      </c>
      <c r="U8" s="135">
        <v>0</v>
      </c>
      <c r="V8" s="754">
        <v>0</v>
      </c>
      <c r="W8" s="289">
        <v>0</v>
      </c>
      <c r="X8" s="755">
        <v>0</v>
      </c>
      <c r="Y8" s="135">
        <v>0</v>
      </c>
      <c r="Z8" s="754">
        <v>0</v>
      </c>
      <c r="AA8" s="289">
        <v>1</v>
      </c>
      <c r="AB8" s="755">
        <v>45000</v>
      </c>
      <c r="AC8" s="135">
        <v>0</v>
      </c>
      <c r="AD8" s="754">
        <v>0</v>
      </c>
      <c r="AE8" s="289">
        <v>6</v>
      </c>
      <c r="AF8" s="774">
        <f>2445.488-2000+11.03595+764.2041</f>
        <v>1220.7280499999999</v>
      </c>
      <c r="AG8" s="127">
        <v>0</v>
      </c>
      <c r="AH8" s="785">
        <v>0</v>
      </c>
      <c r="AI8" s="786">
        <f>C8+E8+G8+I8+K8+O8+W8+Y8+AA8+AC8+AE8+AG8</f>
        <v>23</v>
      </c>
      <c r="AJ8" s="787">
        <f>D8+F8+H8+J8+L8+P8+X8+Z8+AB8+AD8+AF8</f>
        <v>57053.882049999993</v>
      </c>
      <c r="AL8" s="29" t="s">
        <v>535</v>
      </c>
      <c r="AM8" s="629">
        <f>'LISTADO SIGAP'!I375</f>
        <v>57093.56205</v>
      </c>
    </row>
    <row r="9" spans="2:39">
      <c r="B9" s="752" t="s">
        <v>210</v>
      </c>
      <c r="C9" s="289">
        <v>1</v>
      </c>
      <c r="D9" s="755">
        <v>6265</v>
      </c>
      <c r="E9" s="135">
        <v>0</v>
      </c>
      <c r="F9" s="754">
        <v>0</v>
      </c>
      <c r="G9" s="289">
        <v>2</v>
      </c>
      <c r="H9" s="755">
        <v>13008</v>
      </c>
      <c r="I9" s="135">
        <v>0</v>
      </c>
      <c r="J9" s="754">
        <v>0</v>
      </c>
      <c r="K9" s="289">
        <v>1</v>
      </c>
      <c r="L9" s="755">
        <v>1489.87</v>
      </c>
      <c r="M9" s="135">
        <v>0</v>
      </c>
      <c r="N9" s="754">
        <v>0</v>
      </c>
      <c r="O9" s="289">
        <v>0</v>
      </c>
      <c r="P9" s="755">
        <v>0</v>
      </c>
      <c r="Q9" s="135">
        <v>1</v>
      </c>
      <c r="R9" s="754">
        <v>19013.439999999999</v>
      </c>
      <c r="S9" s="289">
        <v>1</v>
      </c>
      <c r="T9" s="755">
        <v>47433</v>
      </c>
      <c r="U9" s="135">
        <v>0</v>
      </c>
      <c r="V9" s="754">
        <v>0</v>
      </c>
      <c r="W9" s="289">
        <v>2</v>
      </c>
      <c r="X9" s="755">
        <v>172638.45</v>
      </c>
      <c r="Y9" s="135">
        <v>0</v>
      </c>
      <c r="Z9" s="754">
        <v>0</v>
      </c>
      <c r="AA9" s="289">
        <v>0</v>
      </c>
      <c r="AB9" s="755">
        <v>0</v>
      </c>
      <c r="AC9" s="135">
        <v>1</v>
      </c>
      <c r="AD9" s="754">
        <v>35202</v>
      </c>
      <c r="AE9" s="289">
        <f>32+1</f>
        <v>33</v>
      </c>
      <c r="AF9" s="773">
        <f>3131.77+0</f>
        <v>3131.77</v>
      </c>
      <c r="AG9" s="127">
        <v>1</v>
      </c>
      <c r="AH9" s="785">
        <v>311.26</v>
      </c>
      <c r="AI9" s="786">
        <f>C9+E9+G9+I9+K9+M9+O9+Q9+S9+W9+Y9+AA9+AC9+AE9+AG9</f>
        <v>43</v>
      </c>
      <c r="AJ9" s="787">
        <f>D9+F9+H9+J9+L9+N9+P9+R9+T9+X9+Z9+AB9+AD9+AF9+AH9</f>
        <v>298492.79000000004</v>
      </c>
      <c r="AL9" s="29" t="s">
        <v>210</v>
      </c>
      <c r="AM9" s="629">
        <f>'LISTADO SIGAP'!I376</f>
        <v>298492.78700000001</v>
      </c>
    </row>
    <row r="10" spans="2:39">
      <c r="B10" s="752" t="s">
        <v>172</v>
      </c>
      <c r="C10" s="289">
        <v>0</v>
      </c>
      <c r="D10" s="755">
        <v>0</v>
      </c>
      <c r="E10" s="135">
        <v>0</v>
      </c>
      <c r="F10" s="754">
        <v>0</v>
      </c>
      <c r="G10" s="289">
        <v>2</v>
      </c>
      <c r="H10" s="755">
        <v>902</v>
      </c>
      <c r="I10" s="135">
        <v>0</v>
      </c>
      <c r="J10" s="754">
        <v>0</v>
      </c>
      <c r="K10" s="289">
        <v>6</v>
      </c>
      <c r="L10" s="770">
        <f>'LISTADO SIGAP'!J139+'LISTADO SIGAP'!J152+'LISTADO SIGAP'!J173+'LISTADO SIGAP'!J206+'LISTADO SIGAP'!J336+'LISTADO SIGAP'!J347</f>
        <v>4003.6864999999998</v>
      </c>
      <c r="M10" s="135">
        <v>0</v>
      </c>
      <c r="N10" s="754">
        <v>0</v>
      </c>
      <c r="O10" s="289">
        <v>0</v>
      </c>
      <c r="P10" s="755">
        <v>0</v>
      </c>
      <c r="Q10" s="135">
        <v>0</v>
      </c>
      <c r="R10" s="754">
        <v>0</v>
      </c>
      <c r="S10" s="289">
        <v>0</v>
      </c>
      <c r="T10" s="755">
        <v>0</v>
      </c>
      <c r="U10" s="135">
        <v>0</v>
      </c>
      <c r="V10" s="754">
        <v>0</v>
      </c>
      <c r="W10" s="289">
        <v>0</v>
      </c>
      <c r="X10" s="755">
        <v>0</v>
      </c>
      <c r="Y10" s="135">
        <v>0</v>
      </c>
      <c r="Z10" s="754">
        <v>0</v>
      </c>
      <c r="AA10" s="289">
        <v>1</v>
      </c>
      <c r="AB10" s="755">
        <v>22114.45</v>
      </c>
      <c r="AC10" s="135">
        <v>0</v>
      </c>
      <c r="AD10" s="754">
        <v>0</v>
      </c>
      <c r="AE10" s="289">
        <v>23</v>
      </c>
      <c r="AF10" s="773">
        <v>1334.32</v>
      </c>
      <c r="AG10" s="127">
        <v>1</v>
      </c>
      <c r="AH10" s="785">
        <v>0</v>
      </c>
      <c r="AI10" s="786">
        <f>C10+E10+G10+I10+K10+M10+O10+Q10+S10+W10+Y10+AA10+AC10+AE10+AG10</f>
        <v>33</v>
      </c>
      <c r="AJ10" s="787">
        <f>D10+F10+H10+J10+L10+N10+P10+R10+T10+X10+Z10+AB10+AD10+AF10+AH10</f>
        <v>28354.4565</v>
      </c>
      <c r="AK10" s="788"/>
      <c r="AL10" s="29" t="s">
        <v>172</v>
      </c>
      <c r="AM10" s="629">
        <f>'LISTADO SIGAP'!I377</f>
        <v>28354.458499999997</v>
      </c>
    </row>
    <row r="11" spans="2:39">
      <c r="B11" s="752" t="s">
        <v>1803</v>
      </c>
      <c r="C11" s="289">
        <v>0</v>
      </c>
      <c r="D11" s="755">
        <v>0</v>
      </c>
      <c r="E11" s="135">
        <v>0</v>
      </c>
      <c r="F11" s="754">
        <v>0</v>
      </c>
      <c r="G11" s="289">
        <v>1</v>
      </c>
      <c r="H11" s="755">
        <v>73</v>
      </c>
      <c r="I11" s="135">
        <v>0</v>
      </c>
      <c r="J11" s="754">
        <v>0</v>
      </c>
      <c r="K11" s="289">
        <v>0</v>
      </c>
      <c r="L11" s="755">
        <v>0</v>
      </c>
      <c r="M11" s="135">
        <v>1</v>
      </c>
      <c r="N11" s="754">
        <v>2673</v>
      </c>
      <c r="O11" s="289">
        <v>0</v>
      </c>
      <c r="P11" s="755">
        <v>0</v>
      </c>
      <c r="Q11" s="135">
        <v>0</v>
      </c>
      <c r="R11" s="754">
        <v>0</v>
      </c>
      <c r="S11" s="289">
        <v>0</v>
      </c>
      <c r="T11" s="755">
        <v>0</v>
      </c>
      <c r="U11" s="135">
        <v>0</v>
      </c>
      <c r="V11" s="754">
        <v>0</v>
      </c>
      <c r="W11" s="289">
        <v>0</v>
      </c>
      <c r="X11" s="755">
        <v>0</v>
      </c>
      <c r="Y11" s="135">
        <v>0</v>
      </c>
      <c r="Z11" s="754">
        <v>0</v>
      </c>
      <c r="AA11" s="289">
        <v>0</v>
      </c>
      <c r="AB11" s="755">
        <v>0</v>
      </c>
      <c r="AC11" s="135">
        <v>3</v>
      </c>
      <c r="AD11" s="754">
        <v>12043.66</v>
      </c>
      <c r="AE11" s="289">
        <v>8</v>
      </c>
      <c r="AF11" s="773">
        <f>3841.62+20.098</f>
        <v>3861.7179999999998</v>
      </c>
      <c r="AG11" s="127">
        <v>14</v>
      </c>
      <c r="AH11" s="785">
        <v>7193.05</v>
      </c>
      <c r="AI11" s="786">
        <f>C11+E11+G11+I11+K11+M11+O11+W11+Y11+AA11+AC11+AE11+AG11</f>
        <v>27</v>
      </c>
      <c r="AJ11" s="787">
        <f>D11+F11+H11+J11+L11+N11+P11+X11+Z11+AB11+AD11+AF11+AH11</f>
        <v>25844.428</v>
      </c>
      <c r="AL11" s="29" t="s">
        <v>1803</v>
      </c>
      <c r="AM11" s="629">
        <f>'LISTADO SIGAP'!I378</f>
        <v>25844.428</v>
      </c>
    </row>
    <row r="12" spans="2:39">
      <c r="B12" s="752" t="s">
        <v>321</v>
      </c>
      <c r="C12" s="289">
        <v>0</v>
      </c>
      <c r="D12" s="755">
        <v>0</v>
      </c>
      <c r="E12" s="135">
        <v>0</v>
      </c>
      <c r="F12" s="754">
        <v>0</v>
      </c>
      <c r="G12" s="289">
        <v>2</v>
      </c>
      <c r="H12" s="753">
        <v>3049.5182</v>
      </c>
      <c r="I12" s="135">
        <v>0</v>
      </c>
      <c r="J12" s="754">
        <v>0</v>
      </c>
      <c r="K12" s="289">
        <v>0</v>
      </c>
      <c r="L12" s="755">
        <v>0</v>
      </c>
      <c r="M12" s="135">
        <v>0</v>
      </c>
      <c r="N12" s="754">
        <v>0</v>
      </c>
      <c r="O12" s="289">
        <v>0</v>
      </c>
      <c r="P12" s="755">
        <v>0</v>
      </c>
      <c r="Q12" s="135">
        <v>0</v>
      </c>
      <c r="R12" s="754">
        <v>0</v>
      </c>
      <c r="S12" s="289">
        <v>0</v>
      </c>
      <c r="T12" s="755">
        <v>0</v>
      </c>
      <c r="U12" s="135">
        <v>0</v>
      </c>
      <c r="V12" s="754">
        <v>0</v>
      </c>
      <c r="W12" s="289">
        <v>0</v>
      </c>
      <c r="X12" s="755">
        <v>0</v>
      </c>
      <c r="Y12" s="135">
        <v>0</v>
      </c>
      <c r="Z12" s="754">
        <v>0</v>
      </c>
      <c r="AA12" s="289">
        <v>0</v>
      </c>
      <c r="AB12" s="755">
        <v>0</v>
      </c>
      <c r="AC12" s="135">
        <v>0</v>
      </c>
      <c r="AD12" s="754">
        <v>0</v>
      </c>
      <c r="AE12" s="289">
        <v>21</v>
      </c>
      <c r="AF12" s="774">
        <f>4710.04+11.298+'LISTADO SIGAP'!J344</f>
        <v>4860.8429999999998</v>
      </c>
      <c r="AG12" s="127">
        <v>0</v>
      </c>
      <c r="AH12" s="785">
        <v>0</v>
      </c>
      <c r="AI12" s="786">
        <f>C12+E12+G12+I12+K12+M12+O12+Q12+S12+U12+W12+Y12+AA12+AC12+AE12+AG12</f>
        <v>23</v>
      </c>
      <c r="AJ12" s="787">
        <f>D12+F12+H12+J12+L12+N12+P12+R12+T12+V12+X12+Z12+AB12+AD12+AF12+AH12</f>
        <v>7910.3611999999994</v>
      </c>
      <c r="AL12" s="29" t="s">
        <v>321</v>
      </c>
      <c r="AM12" s="629">
        <f>'LISTADO SIGAP'!I379</f>
        <v>7910.3611830000018</v>
      </c>
    </row>
    <row r="13" spans="2:39" ht="17.25" customHeight="1">
      <c r="B13" s="758" t="s">
        <v>201</v>
      </c>
      <c r="C13" s="626">
        <v>0</v>
      </c>
      <c r="D13" s="759">
        <v>0</v>
      </c>
      <c r="E13" s="296">
        <v>0</v>
      </c>
      <c r="F13" s="760">
        <v>0</v>
      </c>
      <c r="G13" s="626">
        <v>1</v>
      </c>
      <c r="H13" s="759">
        <v>491</v>
      </c>
      <c r="I13" s="296">
        <v>0</v>
      </c>
      <c r="J13" s="760">
        <v>0</v>
      </c>
      <c r="K13" s="626">
        <v>7</v>
      </c>
      <c r="L13" s="759">
        <v>739.36</v>
      </c>
      <c r="M13" s="296">
        <v>0</v>
      </c>
      <c r="N13" s="760">
        <v>0</v>
      </c>
      <c r="O13" s="626">
        <v>0</v>
      </c>
      <c r="P13" s="759">
        <v>0</v>
      </c>
      <c r="Q13" s="296">
        <v>0</v>
      </c>
      <c r="R13" s="760">
        <v>0</v>
      </c>
      <c r="S13" s="626">
        <v>0</v>
      </c>
      <c r="T13" s="759">
        <v>0</v>
      </c>
      <c r="U13" s="296">
        <v>1</v>
      </c>
      <c r="V13" s="760">
        <v>5372</v>
      </c>
      <c r="W13" s="626">
        <v>0</v>
      </c>
      <c r="X13" s="759">
        <v>0</v>
      </c>
      <c r="Y13" s="296">
        <v>0</v>
      </c>
      <c r="Z13" s="760">
        <v>0</v>
      </c>
      <c r="AA13" s="626">
        <v>0</v>
      </c>
      <c r="AB13" s="759">
        <v>0</v>
      </c>
      <c r="AC13" s="296">
        <v>0</v>
      </c>
      <c r="AD13" s="760">
        <v>0</v>
      </c>
      <c r="AE13" s="626">
        <v>14</v>
      </c>
      <c r="AF13" s="775">
        <v>1894.04</v>
      </c>
      <c r="AG13" s="293">
        <v>4</v>
      </c>
      <c r="AH13" s="794">
        <v>18573.39</v>
      </c>
      <c r="AI13" s="795">
        <f>C13+E13+G13+I13+K13+M13+O13+Q13+S13+U13+W13+Y13+AA13+AC13+AE13+AG13</f>
        <v>27</v>
      </c>
      <c r="AJ13" s="796">
        <f>H13+L13+V13+AF13+AH13</f>
        <v>27069.79</v>
      </c>
      <c r="AL13" s="29" t="s">
        <v>201</v>
      </c>
      <c r="AM13" s="629">
        <f>'LISTADO SIGAP'!I380</f>
        <v>27069.787000000008</v>
      </c>
    </row>
    <row r="14" spans="2:39" ht="29.25" customHeight="1">
      <c r="B14" s="761" t="s">
        <v>430</v>
      </c>
      <c r="C14" s="762">
        <v>0</v>
      </c>
      <c r="D14" s="763">
        <v>0</v>
      </c>
      <c r="E14" s="526">
        <v>0</v>
      </c>
      <c r="F14" s="764">
        <v>0</v>
      </c>
      <c r="G14" s="762">
        <v>0</v>
      </c>
      <c r="H14" s="763">
        <v>0</v>
      </c>
      <c r="I14" s="526">
        <v>0</v>
      </c>
      <c r="J14" s="764">
        <v>0</v>
      </c>
      <c r="K14" s="762">
        <v>0</v>
      </c>
      <c r="L14" s="763">
        <v>0</v>
      </c>
      <c r="M14" s="526">
        <v>0</v>
      </c>
      <c r="N14" s="764">
        <v>0</v>
      </c>
      <c r="O14" s="762">
        <v>0</v>
      </c>
      <c r="P14" s="763">
        <v>0</v>
      </c>
      <c r="Q14" s="526">
        <v>0</v>
      </c>
      <c r="R14" s="764">
        <v>0</v>
      </c>
      <c r="S14" s="762">
        <v>0</v>
      </c>
      <c r="T14" s="763">
        <v>0</v>
      </c>
      <c r="U14" s="526">
        <v>0</v>
      </c>
      <c r="V14" s="764">
        <v>0</v>
      </c>
      <c r="W14" s="762">
        <v>0</v>
      </c>
      <c r="X14" s="763">
        <v>0</v>
      </c>
      <c r="Y14" s="526">
        <v>0</v>
      </c>
      <c r="Z14" s="764">
        <v>0</v>
      </c>
      <c r="AA14" s="762">
        <v>1</v>
      </c>
      <c r="AB14" s="763">
        <v>240536.82</v>
      </c>
      <c r="AC14" s="526">
        <v>0</v>
      </c>
      <c r="AD14" s="764">
        <v>0</v>
      </c>
      <c r="AE14" s="762">
        <v>0</v>
      </c>
      <c r="AF14" s="776">
        <v>0</v>
      </c>
      <c r="AG14" s="130">
        <v>0</v>
      </c>
      <c r="AH14" s="797">
        <v>0</v>
      </c>
      <c r="AI14" s="798">
        <f>AA14</f>
        <v>1</v>
      </c>
      <c r="AJ14" s="671">
        <f>AB14</f>
        <v>240536.82</v>
      </c>
      <c r="AL14" s="799" t="s">
        <v>1791</v>
      </c>
      <c r="AM14" s="695">
        <f>'LISTADO SIGAP'!I370</f>
        <v>240536.82</v>
      </c>
    </row>
    <row r="15" spans="2:39">
      <c r="C15">
        <f t="shared" ref="C15:G15" si="0">SUM(C4:C14)</f>
        <v>6</v>
      </c>
      <c r="E15">
        <f t="shared" si="0"/>
        <v>4</v>
      </c>
      <c r="G15">
        <f t="shared" si="0"/>
        <v>21</v>
      </c>
      <c r="I15">
        <f t="shared" ref="I15:M15" si="1">SUM(I4:I14)</f>
        <v>1</v>
      </c>
      <c r="K15">
        <f t="shared" si="1"/>
        <v>78</v>
      </c>
      <c r="M15">
        <f t="shared" si="1"/>
        <v>1</v>
      </c>
      <c r="O15">
        <f t="shared" ref="O15:S15" si="2">SUM(O4:O14)</f>
        <v>2</v>
      </c>
      <c r="Q15">
        <f t="shared" si="2"/>
        <v>1</v>
      </c>
      <c r="S15">
        <f t="shared" si="2"/>
        <v>1</v>
      </c>
      <c r="U15">
        <f t="shared" ref="U15:Y15" si="3">SUM(U4:U14)</f>
        <v>1</v>
      </c>
      <c r="W15">
        <f t="shared" si="3"/>
        <v>6</v>
      </c>
      <c r="Y15">
        <f t="shared" si="3"/>
        <v>1</v>
      </c>
      <c r="AA15">
        <f t="shared" ref="AA15:AE15" si="4">SUM(AA4:AA14)</f>
        <v>5</v>
      </c>
      <c r="AC15">
        <f t="shared" si="4"/>
        <v>5</v>
      </c>
      <c r="AE15">
        <f t="shared" si="4"/>
        <v>185</v>
      </c>
      <c r="AG15">
        <f t="shared" ref="AG15:AJ15" si="5">SUM(AG4:AG14)</f>
        <v>30</v>
      </c>
      <c r="AI15" s="120">
        <f t="shared" si="5"/>
        <v>348</v>
      </c>
      <c r="AJ15" s="362">
        <f t="shared" si="5"/>
        <v>3471179.64365</v>
      </c>
      <c r="AL15" s="29"/>
      <c r="AM15" s="695">
        <f>SUM(AM4:AM14)</f>
        <v>3471223.9920909987</v>
      </c>
    </row>
    <row r="16" spans="2:39">
      <c r="AJ16" s="362"/>
    </row>
    <row r="17" spans="1:39">
      <c r="AM17" s="687"/>
    </row>
    <row r="18" spans="1:39">
      <c r="A18" s="386" t="s">
        <v>2020</v>
      </c>
      <c r="B18" s="386" t="s">
        <v>2011</v>
      </c>
      <c r="C18" s="386" t="s">
        <v>2019</v>
      </c>
      <c r="AL18" s="687"/>
    </row>
    <row r="19" spans="1:39">
      <c r="A19" s="765" t="s">
        <v>1793</v>
      </c>
      <c r="B19" s="287">
        <v>4</v>
      </c>
      <c r="C19" s="766">
        <v>0</v>
      </c>
    </row>
    <row r="20" spans="1:39">
      <c r="A20" s="752" t="s">
        <v>1795</v>
      </c>
      <c r="B20" s="289">
        <v>1</v>
      </c>
      <c r="C20" s="755">
        <v>983.29200000000003</v>
      </c>
    </row>
    <row r="21" spans="1:39">
      <c r="A21" s="752" t="s">
        <v>1797</v>
      </c>
      <c r="B21" s="289">
        <v>0</v>
      </c>
      <c r="C21" s="755">
        <v>0</v>
      </c>
    </row>
    <row r="22" spans="1:39">
      <c r="A22" s="752" t="s">
        <v>164</v>
      </c>
      <c r="B22" s="289">
        <v>0</v>
      </c>
      <c r="C22" s="755">
        <v>0</v>
      </c>
    </row>
    <row r="23" spans="1:39">
      <c r="A23" s="752" t="s">
        <v>535</v>
      </c>
      <c r="B23" s="289">
        <v>0</v>
      </c>
      <c r="C23" s="755">
        <v>0</v>
      </c>
    </row>
    <row r="24" spans="1:39">
      <c r="A24" s="752" t="s">
        <v>210</v>
      </c>
      <c r="B24" s="289">
        <v>1</v>
      </c>
      <c r="C24" s="755">
        <v>6265</v>
      </c>
    </row>
    <row r="25" spans="1:39">
      <c r="A25" s="752" t="s">
        <v>172</v>
      </c>
      <c r="B25" s="289">
        <v>0</v>
      </c>
      <c r="C25" s="755">
        <v>0</v>
      </c>
    </row>
    <row r="26" spans="1:39">
      <c r="A26" s="752" t="s">
        <v>1803</v>
      </c>
      <c r="B26" s="289">
        <v>0</v>
      </c>
      <c r="C26" s="755">
        <v>0</v>
      </c>
    </row>
    <row r="27" spans="1:39">
      <c r="A27" s="752" t="s">
        <v>321</v>
      </c>
      <c r="B27" s="289">
        <v>0</v>
      </c>
      <c r="C27" s="755">
        <v>0</v>
      </c>
    </row>
    <row r="28" spans="1:39">
      <c r="A28" s="758" t="s">
        <v>201</v>
      </c>
      <c r="B28" s="626">
        <v>0</v>
      </c>
      <c r="C28" s="759">
        <v>0</v>
      </c>
    </row>
    <row r="29" spans="1:39" ht="38.25">
      <c r="A29" s="761" t="s">
        <v>430</v>
      </c>
      <c r="B29" s="762">
        <v>0</v>
      </c>
      <c r="C29" s="763">
        <v>0</v>
      </c>
    </row>
    <row r="33" spans="1:3" ht="22.5">
      <c r="A33" s="754" t="s">
        <v>2020</v>
      </c>
      <c r="B33" s="767" t="s">
        <v>2012</v>
      </c>
      <c r="C33" s="754" t="s">
        <v>2019</v>
      </c>
    </row>
    <row r="34" spans="1:3">
      <c r="A34" s="765" t="s">
        <v>1793</v>
      </c>
      <c r="B34" s="288">
        <v>3</v>
      </c>
      <c r="C34" s="768">
        <v>64649.4</v>
      </c>
    </row>
    <row r="35" spans="1:3">
      <c r="A35" s="752" t="s">
        <v>1795</v>
      </c>
      <c r="B35" s="135">
        <v>1</v>
      </c>
      <c r="C35" s="754">
        <v>1837.55</v>
      </c>
    </row>
    <row r="36" spans="1:3">
      <c r="A36" s="752" t="s">
        <v>1797</v>
      </c>
      <c r="B36" s="135">
        <v>0</v>
      </c>
      <c r="C36" s="754">
        <v>0</v>
      </c>
    </row>
    <row r="37" spans="1:3">
      <c r="A37" s="752" t="s">
        <v>164</v>
      </c>
      <c r="B37" s="135">
        <v>0</v>
      </c>
      <c r="C37" s="754">
        <v>0</v>
      </c>
    </row>
    <row r="38" spans="1:3">
      <c r="A38" s="752" t="s">
        <v>535</v>
      </c>
      <c r="B38" s="135">
        <v>0</v>
      </c>
      <c r="C38" s="754">
        <v>0</v>
      </c>
    </row>
    <row r="39" spans="1:3">
      <c r="A39" s="752" t="s">
        <v>210</v>
      </c>
      <c r="B39" s="135">
        <v>0</v>
      </c>
      <c r="C39" s="754">
        <v>0</v>
      </c>
    </row>
    <row r="40" spans="1:3">
      <c r="A40" s="752" t="s">
        <v>172</v>
      </c>
      <c r="B40" s="135">
        <v>0</v>
      </c>
      <c r="C40" s="754">
        <v>0</v>
      </c>
    </row>
    <row r="41" spans="1:3">
      <c r="A41" s="752" t="s">
        <v>1803</v>
      </c>
      <c r="B41" s="135">
        <v>0</v>
      </c>
      <c r="C41" s="754">
        <v>0</v>
      </c>
    </row>
    <row r="42" spans="1:3">
      <c r="A42" s="752" t="s">
        <v>321</v>
      </c>
      <c r="B42" s="135">
        <v>0</v>
      </c>
      <c r="C42" s="754">
        <v>0</v>
      </c>
    </row>
    <row r="43" spans="1:3">
      <c r="A43" s="758" t="s">
        <v>201</v>
      </c>
      <c r="B43" s="296">
        <v>0</v>
      </c>
      <c r="C43" s="760">
        <v>0</v>
      </c>
    </row>
    <row r="44" spans="1:3" ht="38.25">
      <c r="A44" s="761" t="s">
        <v>430</v>
      </c>
      <c r="B44" s="526">
        <v>0</v>
      </c>
      <c r="C44" s="764">
        <v>0</v>
      </c>
    </row>
    <row r="48" spans="1:3">
      <c r="A48" s="754" t="s">
        <v>2020</v>
      </c>
      <c r="B48" s="746" t="s">
        <v>30</v>
      </c>
      <c r="C48" s="743" t="s">
        <v>2019</v>
      </c>
    </row>
    <row r="49" spans="1:3">
      <c r="A49" s="765" t="s">
        <v>1793</v>
      </c>
      <c r="B49" s="748">
        <v>6</v>
      </c>
      <c r="C49" s="749">
        <v>0</v>
      </c>
    </row>
    <row r="50" spans="1:3">
      <c r="A50" s="752" t="s">
        <v>1795</v>
      </c>
      <c r="B50" s="289">
        <v>3</v>
      </c>
      <c r="C50" s="755">
        <v>14394.26</v>
      </c>
    </row>
    <row r="51" spans="1:3">
      <c r="A51" s="752" t="s">
        <v>1797</v>
      </c>
      <c r="B51" s="289">
        <v>2</v>
      </c>
      <c r="C51" s="755">
        <v>65.209999999999994</v>
      </c>
    </row>
    <row r="52" spans="1:3">
      <c r="A52" s="752" t="s">
        <v>164</v>
      </c>
      <c r="B52" s="289">
        <v>2</v>
      </c>
      <c r="C52" s="755">
        <v>240.48</v>
      </c>
    </row>
    <row r="53" spans="1:3">
      <c r="A53" s="752" t="s">
        <v>535</v>
      </c>
      <c r="B53" s="289">
        <v>0</v>
      </c>
      <c r="C53" s="755">
        <v>0</v>
      </c>
    </row>
    <row r="54" spans="1:3">
      <c r="A54" s="752" t="s">
        <v>210</v>
      </c>
      <c r="B54" s="289">
        <v>2</v>
      </c>
      <c r="C54" s="755">
        <v>13008</v>
      </c>
    </row>
    <row r="55" spans="1:3">
      <c r="A55" s="752" t="s">
        <v>172</v>
      </c>
      <c r="B55" s="289">
        <v>2</v>
      </c>
      <c r="C55" s="755">
        <v>902</v>
      </c>
    </row>
    <row r="56" spans="1:3">
      <c r="A56" s="752" t="s">
        <v>1803</v>
      </c>
      <c r="B56" s="289">
        <v>1</v>
      </c>
      <c r="C56" s="755">
        <v>73</v>
      </c>
    </row>
    <row r="57" spans="1:3">
      <c r="A57" s="752" t="s">
        <v>321</v>
      </c>
      <c r="B57" s="289">
        <v>2</v>
      </c>
      <c r="C57" s="755">
        <v>3049.5182</v>
      </c>
    </row>
    <row r="58" spans="1:3">
      <c r="A58" s="758" t="s">
        <v>201</v>
      </c>
      <c r="B58" s="626">
        <v>1</v>
      </c>
      <c r="C58" s="759">
        <v>491</v>
      </c>
    </row>
    <row r="59" spans="1:3" ht="38.25">
      <c r="A59" s="761" t="s">
        <v>430</v>
      </c>
      <c r="B59" s="762">
        <v>0</v>
      </c>
      <c r="C59" s="763">
        <v>0</v>
      </c>
    </row>
    <row r="63" spans="1:3" ht="15.75" customHeight="1"/>
    <row r="64" spans="1:3" ht="45">
      <c r="A64" s="754" t="s">
        <v>2020</v>
      </c>
      <c r="B64" s="769" t="s">
        <v>2021</v>
      </c>
      <c r="C64" s="745" t="s">
        <v>2019</v>
      </c>
    </row>
    <row r="65" spans="1:3">
      <c r="A65" s="765" t="s">
        <v>1793</v>
      </c>
      <c r="B65" s="750">
        <v>0</v>
      </c>
      <c r="C65" s="751">
        <v>0</v>
      </c>
    </row>
    <row r="66" spans="1:3">
      <c r="A66" s="752" t="s">
        <v>1795</v>
      </c>
      <c r="B66" s="135">
        <v>1</v>
      </c>
      <c r="C66" s="754">
        <v>38.28</v>
      </c>
    </row>
    <row r="67" spans="1:3">
      <c r="A67" s="752" t="s">
        <v>1797</v>
      </c>
      <c r="B67" s="135">
        <v>0</v>
      </c>
      <c r="C67" s="754">
        <v>0</v>
      </c>
    </row>
    <row r="68" spans="1:3">
      <c r="A68" s="752" t="s">
        <v>164</v>
      </c>
      <c r="B68" s="135">
        <v>0</v>
      </c>
      <c r="C68" s="754">
        <v>0</v>
      </c>
    </row>
    <row r="69" spans="1:3">
      <c r="A69" s="752" t="s">
        <v>535</v>
      </c>
      <c r="B69" s="135">
        <v>0</v>
      </c>
      <c r="C69" s="754">
        <v>0</v>
      </c>
    </row>
    <row r="70" spans="1:3">
      <c r="A70" s="752" t="s">
        <v>210</v>
      </c>
      <c r="B70" s="135">
        <v>0</v>
      </c>
      <c r="C70" s="754">
        <v>0</v>
      </c>
    </row>
    <row r="71" spans="1:3">
      <c r="A71" s="752" t="s">
        <v>172</v>
      </c>
      <c r="B71" s="135">
        <v>0</v>
      </c>
      <c r="C71" s="754">
        <v>0</v>
      </c>
    </row>
    <row r="72" spans="1:3">
      <c r="A72" s="752" t="s">
        <v>1803</v>
      </c>
      <c r="B72" s="135">
        <v>0</v>
      </c>
      <c r="C72" s="754">
        <v>0</v>
      </c>
    </row>
    <row r="73" spans="1:3">
      <c r="A73" s="752" t="s">
        <v>321</v>
      </c>
      <c r="B73" s="135">
        <v>0</v>
      </c>
      <c r="C73" s="754">
        <v>0</v>
      </c>
    </row>
    <row r="74" spans="1:3">
      <c r="A74" s="758" t="s">
        <v>201</v>
      </c>
      <c r="B74" s="296">
        <v>0</v>
      </c>
      <c r="C74" s="760">
        <v>0</v>
      </c>
    </row>
    <row r="75" spans="1:3" ht="38.25">
      <c r="A75" s="761" t="s">
        <v>430</v>
      </c>
      <c r="B75" s="526">
        <v>0</v>
      </c>
      <c r="C75" s="764">
        <v>0</v>
      </c>
    </row>
    <row r="78" spans="1:3" ht="30">
      <c r="A78" s="754" t="s">
        <v>2020</v>
      </c>
      <c r="B78" s="800" t="s">
        <v>496</v>
      </c>
      <c r="C78" s="743" t="s">
        <v>2019</v>
      </c>
    </row>
    <row r="79" spans="1:3">
      <c r="A79" s="765" t="s">
        <v>1793</v>
      </c>
      <c r="B79" s="748">
        <v>22</v>
      </c>
      <c r="C79" s="749">
        <v>631.63</v>
      </c>
    </row>
    <row r="80" spans="1:3">
      <c r="A80" s="752" t="s">
        <v>1795</v>
      </c>
      <c r="B80" s="289">
        <v>3</v>
      </c>
      <c r="C80" s="755">
        <f>87.102+5.5</f>
        <v>92.602000000000004</v>
      </c>
    </row>
    <row r="81" spans="1:3">
      <c r="A81" s="752" t="s">
        <v>1797</v>
      </c>
      <c r="B81" s="289">
        <f>K6</f>
        <v>10</v>
      </c>
      <c r="C81" s="770">
        <f>L6</f>
        <v>2325.31</v>
      </c>
    </row>
    <row r="82" spans="1:3">
      <c r="A82" s="752" t="s">
        <v>164</v>
      </c>
      <c r="B82" s="289">
        <v>14</v>
      </c>
      <c r="C82" s="755">
        <f>(26828.94+0.45-46.02)-0.1464</f>
        <v>26783.223599999998</v>
      </c>
    </row>
    <row r="83" spans="1:3">
      <c r="A83" s="752" t="s">
        <v>535</v>
      </c>
      <c r="B83" s="289">
        <f>K8</f>
        <v>16</v>
      </c>
      <c r="C83" s="753">
        <f>L8</f>
        <v>10833.153999999999</v>
      </c>
    </row>
    <row r="84" spans="1:3">
      <c r="A84" s="752" t="s">
        <v>210</v>
      </c>
      <c r="B84" s="289">
        <v>1</v>
      </c>
      <c r="C84" s="755">
        <v>1489.87</v>
      </c>
    </row>
    <row r="85" spans="1:3">
      <c r="A85" s="752" t="s">
        <v>172</v>
      </c>
      <c r="B85" s="289">
        <v>6</v>
      </c>
      <c r="C85" s="755">
        <f>3880.71+20.76</f>
        <v>3901.4700000000003</v>
      </c>
    </row>
    <row r="86" spans="1:3">
      <c r="A86" s="752" t="s">
        <v>1803</v>
      </c>
      <c r="B86" s="289">
        <v>0</v>
      </c>
      <c r="C86" s="755">
        <v>0</v>
      </c>
    </row>
    <row r="87" spans="1:3">
      <c r="A87" s="752" t="s">
        <v>321</v>
      </c>
      <c r="B87" s="289">
        <v>0</v>
      </c>
      <c r="C87" s="755">
        <v>0</v>
      </c>
    </row>
    <row r="88" spans="1:3">
      <c r="A88" s="758" t="s">
        <v>201</v>
      </c>
      <c r="B88" s="626">
        <v>7</v>
      </c>
      <c r="C88" s="759">
        <v>739.36</v>
      </c>
    </row>
    <row r="89" spans="1:3" ht="38.25">
      <c r="A89" s="761" t="s">
        <v>430</v>
      </c>
      <c r="B89" s="762">
        <v>0</v>
      </c>
      <c r="C89" s="763">
        <v>0</v>
      </c>
    </row>
    <row r="92" spans="1:3" ht="45">
      <c r="A92" s="754" t="s">
        <v>2020</v>
      </c>
      <c r="B92" s="769" t="s">
        <v>576</v>
      </c>
      <c r="C92" s="745" t="s">
        <v>2019</v>
      </c>
    </row>
    <row r="93" spans="1:3">
      <c r="A93" s="765" t="s">
        <v>1793</v>
      </c>
      <c r="B93" s="750">
        <v>0</v>
      </c>
      <c r="C93" s="751">
        <v>0</v>
      </c>
    </row>
    <row r="94" spans="1:3">
      <c r="A94" s="752" t="s">
        <v>1795</v>
      </c>
      <c r="B94" s="135">
        <v>0</v>
      </c>
      <c r="C94" s="754">
        <v>0</v>
      </c>
    </row>
    <row r="95" spans="1:3">
      <c r="A95" s="752" t="s">
        <v>1797</v>
      </c>
      <c r="B95" s="135">
        <v>0</v>
      </c>
      <c r="C95" s="754">
        <v>0</v>
      </c>
    </row>
    <row r="96" spans="1:3">
      <c r="A96" s="752" t="s">
        <v>164</v>
      </c>
      <c r="B96" s="135">
        <v>0</v>
      </c>
      <c r="C96" s="754">
        <v>0</v>
      </c>
    </row>
    <row r="97" spans="1:3">
      <c r="A97" s="752" t="s">
        <v>535</v>
      </c>
      <c r="B97" s="135">
        <v>0</v>
      </c>
      <c r="C97" s="754">
        <v>0</v>
      </c>
    </row>
    <row r="98" spans="1:3">
      <c r="A98" s="752" t="s">
        <v>210</v>
      </c>
      <c r="B98" s="135">
        <v>0</v>
      </c>
      <c r="C98" s="754">
        <v>0</v>
      </c>
    </row>
    <row r="99" spans="1:3">
      <c r="A99" s="752" t="s">
        <v>172</v>
      </c>
      <c r="B99" s="135">
        <v>0</v>
      </c>
      <c r="C99" s="754">
        <v>0</v>
      </c>
    </row>
    <row r="100" spans="1:3">
      <c r="A100" s="752" t="s">
        <v>1803</v>
      </c>
      <c r="B100" s="135">
        <v>1</v>
      </c>
      <c r="C100" s="754">
        <v>2673</v>
      </c>
    </row>
    <row r="101" spans="1:3">
      <c r="A101" s="752" t="s">
        <v>321</v>
      </c>
      <c r="B101" s="135">
        <v>0</v>
      </c>
      <c r="C101" s="754">
        <v>0</v>
      </c>
    </row>
    <row r="102" spans="1:3">
      <c r="A102" s="758" t="s">
        <v>201</v>
      </c>
      <c r="B102" s="296">
        <v>0</v>
      </c>
      <c r="C102" s="760">
        <v>0</v>
      </c>
    </row>
    <row r="103" spans="1:3" ht="38.25">
      <c r="A103" s="761" t="s">
        <v>430</v>
      </c>
      <c r="B103" s="526">
        <v>0</v>
      </c>
      <c r="C103" s="764">
        <v>0</v>
      </c>
    </row>
    <row r="106" spans="1:3" ht="30">
      <c r="A106" s="754" t="s">
        <v>2020</v>
      </c>
      <c r="B106" s="800" t="s">
        <v>847</v>
      </c>
      <c r="C106" s="743" t="s">
        <v>2019</v>
      </c>
    </row>
    <row r="107" spans="1:3">
      <c r="A107" s="765" t="s">
        <v>1793</v>
      </c>
      <c r="B107" s="748">
        <v>0</v>
      </c>
      <c r="C107" s="749">
        <v>0</v>
      </c>
    </row>
    <row r="108" spans="1:3">
      <c r="A108" s="752" t="s">
        <v>1795</v>
      </c>
      <c r="B108" s="289">
        <v>2</v>
      </c>
      <c r="C108" s="755">
        <v>158.49700000000001</v>
      </c>
    </row>
    <row r="109" spans="1:3">
      <c r="A109" s="752" t="s">
        <v>1797</v>
      </c>
      <c r="B109" s="289">
        <v>0</v>
      </c>
      <c r="C109" s="755">
        <v>0</v>
      </c>
    </row>
    <row r="110" spans="1:3">
      <c r="A110" s="752" t="s">
        <v>164</v>
      </c>
      <c r="B110" s="289">
        <v>0</v>
      </c>
      <c r="C110" s="755">
        <v>0</v>
      </c>
    </row>
    <row r="111" spans="1:3">
      <c r="A111" s="752" t="s">
        <v>535</v>
      </c>
      <c r="B111" s="289">
        <v>0</v>
      </c>
      <c r="C111" s="755">
        <v>0</v>
      </c>
    </row>
    <row r="112" spans="1:3">
      <c r="A112" s="752" t="s">
        <v>210</v>
      </c>
      <c r="B112" s="289">
        <v>0</v>
      </c>
      <c r="C112" s="755">
        <v>0</v>
      </c>
    </row>
    <row r="113" spans="1:3">
      <c r="A113" s="752" t="s">
        <v>172</v>
      </c>
      <c r="B113" s="289">
        <v>0</v>
      </c>
      <c r="C113" s="755">
        <v>0</v>
      </c>
    </row>
    <row r="114" spans="1:3">
      <c r="A114" s="752" t="s">
        <v>1803</v>
      </c>
      <c r="B114" s="289">
        <v>0</v>
      </c>
      <c r="C114" s="755">
        <v>0</v>
      </c>
    </row>
    <row r="115" spans="1:3">
      <c r="A115" s="752" t="s">
        <v>321</v>
      </c>
      <c r="B115" s="289">
        <v>0</v>
      </c>
      <c r="C115" s="755">
        <v>0</v>
      </c>
    </row>
    <row r="116" spans="1:3">
      <c r="A116" s="758" t="s">
        <v>201</v>
      </c>
      <c r="B116" s="626">
        <v>0</v>
      </c>
      <c r="C116" s="759">
        <v>0</v>
      </c>
    </row>
    <row r="117" spans="1:3" ht="38.25">
      <c r="A117" s="761" t="s">
        <v>430</v>
      </c>
      <c r="B117" s="762">
        <v>0</v>
      </c>
      <c r="C117" s="763">
        <v>0</v>
      </c>
    </row>
    <row r="120" spans="1:3" ht="30">
      <c r="A120" s="754" t="s">
        <v>2020</v>
      </c>
      <c r="B120" s="769" t="s">
        <v>1587</v>
      </c>
      <c r="C120" s="745" t="s">
        <v>2019</v>
      </c>
    </row>
    <row r="121" spans="1:3">
      <c r="A121" s="765" t="s">
        <v>1793</v>
      </c>
      <c r="B121" s="750">
        <v>0</v>
      </c>
      <c r="C121" s="751">
        <v>0</v>
      </c>
    </row>
    <row r="122" spans="1:3">
      <c r="A122" s="752" t="s">
        <v>1795</v>
      </c>
      <c r="B122" s="135">
        <v>0</v>
      </c>
      <c r="C122" s="754">
        <v>0</v>
      </c>
    </row>
    <row r="123" spans="1:3">
      <c r="A123" s="752" t="s">
        <v>1797</v>
      </c>
      <c r="B123" s="135">
        <v>0</v>
      </c>
      <c r="C123" s="754">
        <v>0</v>
      </c>
    </row>
    <row r="124" spans="1:3">
      <c r="A124" s="752" t="s">
        <v>164</v>
      </c>
      <c r="B124" s="135">
        <v>0</v>
      </c>
      <c r="C124" s="754">
        <v>0</v>
      </c>
    </row>
    <row r="125" spans="1:3">
      <c r="A125" s="752" t="s">
        <v>535</v>
      </c>
      <c r="B125" s="135">
        <v>0</v>
      </c>
      <c r="C125" s="754">
        <v>0</v>
      </c>
    </row>
    <row r="126" spans="1:3">
      <c r="A126" s="752" t="s">
        <v>210</v>
      </c>
      <c r="B126" s="135">
        <v>1</v>
      </c>
      <c r="C126" s="754">
        <v>19013.439999999999</v>
      </c>
    </row>
    <row r="127" spans="1:3">
      <c r="A127" s="752" t="s">
        <v>172</v>
      </c>
      <c r="B127" s="135">
        <v>0</v>
      </c>
      <c r="C127" s="754">
        <v>0</v>
      </c>
    </row>
    <row r="128" spans="1:3">
      <c r="A128" s="752" t="s">
        <v>1803</v>
      </c>
      <c r="B128" s="135">
        <v>0</v>
      </c>
      <c r="C128" s="754">
        <v>0</v>
      </c>
    </row>
    <row r="129" spans="1:3">
      <c r="A129" s="752" t="s">
        <v>321</v>
      </c>
      <c r="B129" s="135">
        <v>0</v>
      </c>
      <c r="C129" s="754">
        <v>0</v>
      </c>
    </row>
    <row r="130" spans="1:3">
      <c r="A130" s="758" t="s">
        <v>201</v>
      </c>
      <c r="B130" s="296">
        <v>0</v>
      </c>
      <c r="C130" s="760">
        <v>0</v>
      </c>
    </row>
    <row r="131" spans="1:3" ht="38.25">
      <c r="A131" s="761" t="s">
        <v>430</v>
      </c>
      <c r="B131" s="526">
        <v>0</v>
      </c>
      <c r="C131" s="764">
        <v>0</v>
      </c>
    </row>
    <row r="134" spans="1:3" ht="45">
      <c r="A134" s="754" t="s">
        <v>2020</v>
      </c>
      <c r="B134" s="800" t="s">
        <v>474</v>
      </c>
      <c r="C134" s="743" t="s">
        <v>2019</v>
      </c>
    </row>
    <row r="135" spans="1:3">
      <c r="A135" s="765" t="s">
        <v>1793</v>
      </c>
      <c r="B135" s="748">
        <v>0</v>
      </c>
      <c r="C135" s="749">
        <v>0</v>
      </c>
    </row>
    <row r="136" spans="1:3">
      <c r="A136" s="752" t="s">
        <v>1795</v>
      </c>
      <c r="B136" s="289">
        <v>0</v>
      </c>
      <c r="C136" s="755">
        <v>0</v>
      </c>
    </row>
    <row r="137" spans="1:3">
      <c r="A137" s="752" t="s">
        <v>1797</v>
      </c>
      <c r="B137" s="289">
        <v>0</v>
      </c>
      <c r="C137" s="755">
        <v>0</v>
      </c>
    </row>
    <row r="138" spans="1:3">
      <c r="A138" s="752" t="s">
        <v>164</v>
      </c>
      <c r="B138" s="289">
        <v>0</v>
      </c>
      <c r="C138" s="755">
        <v>0</v>
      </c>
    </row>
    <row r="139" spans="1:3">
      <c r="A139" s="752" t="s">
        <v>535</v>
      </c>
      <c r="B139" s="289">
        <v>0</v>
      </c>
      <c r="C139" s="755">
        <v>0</v>
      </c>
    </row>
    <row r="140" spans="1:3">
      <c r="A140" s="752" t="s">
        <v>210</v>
      </c>
      <c r="B140" s="289">
        <v>1</v>
      </c>
      <c r="C140" s="755">
        <v>47433</v>
      </c>
    </row>
    <row r="141" spans="1:3">
      <c r="A141" s="752" t="s">
        <v>172</v>
      </c>
      <c r="B141" s="289">
        <v>0</v>
      </c>
      <c r="C141" s="755">
        <v>0</v>
      </c>
    </row>
    <row r="142" spans="1:3">
      <c r="A142" s="752" t="s">
        <v>1803</v>
      </c>
      <c r="B142" s="289">
        <v>0</v>
      </c>
      <c r="C142" s="755">
        <v>0</v>
      </c>
    </row>
    <row r="143" spans="1:3">
      <c r="A143" s="752" t="s">
        <v>321</v>
      </c>
      <c r="B143" s="289">
        <v>0</v>
      </c>
      <c r="C143" s="755">
        <v>0</v>
      </c>
    </row>
    <row r="144" spans="1:3">
      <c r="A144" s="758" t="s">
        <v>201</v>
      </c>
      <c r="B144" s="626">
        <v>0</v>
      </c>
      <c r="C144" s="759">
        <v>0</v>
      </c>
    </row>
    <row r="145" spans="1:3" ht="38.25">
      <c r="A145" s="761" t="s">
        <v>430</v>
      </c>
      <c r="B145" s="762">
        <v>0</v>
      </c>
      <c r="C145" s="763">
        <v>0</v>
      </c>
    </row>
    <row r="148" spans="1:3" ht="45">
      <c r="A148" s="754" t="s">
        <v>2020</v>
      </c>
      <c r="B148" s="769" t="s">
        <v>507</v>
      </c>
      <c r="C148" s="745" t="s">
        <v>2019</v>
      </c>
    </row>
    <row r="149" spans="1:3">
      <c r="A149" s="765" t="s">
        <v>1793</v>
      </c>
      <c r="B149" s="750">
        <v>0</v>
      </c>
      <c r="C149" s="751">
        <v>0</v>
      </c>
    </row>
    <row r="150" spans="1:3">
      <c r="A150" s="752" t="s">
        <v>1795</v>
      </c>
      <c r="B150" s="135">
        <v>0</v>
      </c>
      <c r="C150" s="754">
        <v>0</v>
      </c>
    </row>
    <row r="151" spans="1:3">
      <c r="A151" s="752" t="s">
        <v>1797</v>
      </c>
      <c r="B151" s="135">
        <v>0</v>
      </c>
      <c r="C151" s="754">
        <v>0</v>
      </c>
    </row>
    <row r="152" spans="1:3">
      <c r="A152" s="752" t="s">
        <v>164</v>
      </c>
      <c r="B152" s="135">
        <v>0</v>
      </c>
      <c r="C152" s="754">
        <v>0</v>
      </c>
    </row>
    <row r="153" spans="1:3">
      <c r="A153" s="752" t="s">
        <v>535</v>
      </c>
      <c r="B153" s="135">
        <v>0</v>
      </c>
      <c r="C153" s="754">
        <v>0</v>
      </c>
    </row>
    <row r="154" spans="1:3">
      <c r="A154" s="752" t="s">
        <v>210</v>
      </c>
      <c r="B154" s="135">
        <v>0</v>
      </c>
      <c r="C154" s="754">
        <v>0</v>
      </c>
    </row>
    <row r="155" spans="1:3">
      <c r="A155" s="752" t="s">
        <v>172</v>
      </c>
      <c r="B155" s="135">
        <v>0</v>
      </c>
      <c r="C155" s="754">
        <v>0</v>
      </c>
    </row>
    <row r="156" spans="1:3">
      <c r="A156" s="752" t="s">
        <v>1803</v>
      </c>
      <c r="B156" s="135">
        <v>0</v>
      </c>
      <c r="C156" s="754">
        <v>0</v>
      </c>
    </row>
    <row r="157" spans="1:3">
      <c r="A157" s="752" t="s">
        <v>321</v>
      </c>
      <c r="B157" s="135">
        <v>0</v>
      </c>
      <c r="C157" s="754">
        <v>0</v>
      </c>
    </row>
    <row r="158" spans="1:3">
      <c r="A158" s="758" t="s">
        <v>201</v>
      </c>
      <c r="B158" s="296">
        <v>1</v>
      </c>
      <c r="C158" s="760">
        <v>5372</v>
      </c>
    </row>
    <row r="159" spans="1:3" ht="38.25">
      <c r="A159" s="761" t="s">
        <v>430</v>
      </c>
      <c r="B159" s="526">
        <v>0</v>
      </c>
      <c r="C159" s="764">
        <v>0</v>
      </c>
    </row>
    <row r="162" spans="1:3" ht="30">
      <c r="A162" s="754" t="s">
        <v>2020</v>
      </c>
      <c r="B162" s="800" t="s">
        <v>126</v>
      </c>
      <c r="C162" s="743" t="s">
        <v>2019</v>
      </c>
    </row>
    <row r="163" spans="1:3">
      <c r="A163" s="765" t="s">
        <v>1793</v>
      </c>
      <c r="B163" s="748">
        <v>4</v>
      </c>
      <c r="C163" s="749">
        <v>162166.6</v>
      </c>
    </row>
    <row r="164" spans="1:3">
      <c r="A164" s="752" t="s">
        <v>1795</v>
      </c>
      <c r="B164" s="289">
        <v>0</v>
      </c>
      <c r="C164" s="755">
        <v>0</v>
      </c>
    </row>
    <row r="165" spans="1:3">
      <c r="A165" s="752" t="s">
        <v>1797</v>
      </c>
      <c r="B165" s="289">
        <v>0</v>
      </c>
      <c r="C165" s="755">
        <v>0</v>
      </c>
    </row>
    <row r="166" spans="1:3">
      <c r="A166" s="752" t="s">
        <v>164</v>
      </c>
      <c r="B166" s="289">
        <v>0</v>
      </c>
      <c r="C166" s="755">
        <v>0</v>
      </c>
    </row>
    <row r="167" spans="1:3">
      <c r="A167" s="752" t="s">
        <v>535</v>
      </c>
      <c r="B167" s="289">
        <v>0</v>
      </c>
      <c r="C167" s="755">
        <v>0</v>
      </c>
    </row>
    <row r="168" spans="1:3">
      <c r="A168" s="752" t="s">
        <v>210</v>
      </c>
      <c r="B168" s="289">
        <v>2</v>
      </c>
      <c r="C168" s="755">
        <v>172638.45</v>
      </c>
    </row>
    <row r="169" spans="1:3">
      <c r="A169" s="752" t="s">
        <v>172</v>
      </c>
      <c r="B169" s="289">
        <v>0</v>
      </c>
      <c r="C169" s="755">
        <v>0</v>
      </c>
    </row>
    <row r="170" spans="1:3">
      <c r="A170" s="752" t="s">
        <v>1803</v>
      </c>
      <c r="B170" s="289">
        <v>0</v>
      </c>
      <c r="C170" s="755">
        <v>0</v>
      </c>
    </row>
    <row r="171" spans="1:3">
      <c r="A171" s="752" t="s">
        <v>321</v>
      </c>
      <c r="B171" s="289">
        <v>0</v>
      </c>
      <c r="C171" s="755">
        <v>0</v>
      </c>
    </row>
    <row r="172" spans="1:3">
      <c r="A172" s="758" t="s">
        <v>201</v>
      </c>
      <c r="B172" s="626">
        <v>0</v>
      </c>
      <c r="C172" s="759">
        <v>0</v>
      </c>
    </row>
    <row r="173" spans="1:3" ht="38.25">
      <c r="A173" s="761" t="s">
        <v>430</v>
      </c>
      <c r="B173" s="762">
        <v>0</v>
      </c>
      <c r="C173" s="763">
        <v>0</v>
      </c>
    </row>
    <row r="176" spans="1:3">
      <c r="A176" s="754" t="s">
        <v>2020</v>
      </c>
      <c r="B176" s="744" t="s">
        <v>117</v>
      </c>
      <c r="C176" s="745" t="s">
        <v>2019</v>
      </c>
    </row>
    <row r="177" spans="1:3">
      <c r="A177" s="765" t="s">
        <v>1793</v>
      </c>
      <c r="B177" s="750">
        <v>1</v>
      </c>
      <c r="C177" s="751">
        <v>60878</v>
      </c>
    </row>
    <row r="178" spans="1:3">
      <c r="A178" s="752" t="s">
        <v>1795</v>
      </c>
      <c r="B178" s="135">
        <v>0</v>
      </c>
      <c r="C178" s="754">
        <v>0</v>
      </c>
    </row>
    <row r="179" spans="1:3">
      <c r="A179" s="752" t="s">
        <v>1797</v>
      </c>
      <c r="B179" s="135">
        <v>0</v>
      </c>
      <c r="C179" s="754">
        <v>0</v>
      </c>
    </row>
    <row r="180" spans="1:3">
      <c r="A180" s="752" t="s">
        <v>164</v>
      </c>
      <c r="B180" s="135">
        <v>0</v>
      </c>
      <c r="C180" s="754">
        <v>0</v>
      </c>
    </row>
    <row r="181" spans="1:3">
      <c r="A181" s="752" t="s">
        <v>535</v>
      </c>
      <c r="B181" s="135">
        <v>0</v>
      </c>
      <c r="C181" s="754">
        <v>0</v>
      </c>
    </row>
    <row r="182" spans="1:3">
      <c r="A182" s="752" t="s">
        <v>210</v>
      </c>
      <c r="B182" s="135">
        <v>0</v>
      </c>
      <c r="C182" s="754">
        <v>0</v>
      </c>
    </row>
    <row r="183" spans="1:3">
      <c r="A183" s="752" t="s">
        <v>172</v>
      </c>
      <c r="B183" s="135">
        <v>0</v>
      </c>
      <c r="C183" s="754">
        <v>0</v>
      </c>
    </row>
    <row r="184" spans="1:3">
      <c r="A184" s="752" t="s">
        <v>1803</v>
      </c>
      <c r="B184" s="135">
        <v>0</v>
      </c>
      <c r="C184" s="754">
        <v>0</v>
      </c>
    </row>
    <row r="185" spans="1:3">
      <c r="A185" s="752" t="s">
        <v>321</v>
      </c>
      <c r="B185" s="135">
        <v>0</v>
      </c>
      <c r="C185" s="754">
        <v>0</v>
      </c>
    </row>
    <row r="186" spans="1:3">
      <c r="A186" s="758" t="s">
        <v>201</v>
      </c>
      <c r="B186" s="296">
        <v>0</v>
      </c>
      <c r="C186" s="760">
        <v>0</v>
      </c>
    </row>
    <row r="187" spans="1:3" ht="38.25">
      <c r="A187" s="761" t="s">
        <v>430</v>
      </c>
      <c r="B187" s="526">
        <v>0</v>
      </c>
      <c r="C187" s="764">
        <v>0</v>
      </c>
    </row>
    <row r="190" spans="1:3" ht="30">
      <c r="A190" s="754" t="s">
        <v>2020</v>
      </c>
      <c r="B190" s="800" t="s">
        <v>2022</v>
      </c>
      <c r="C190" s="743" t="s">
        <v>2019</v>
      </c>
    </row>
    <row r="191" spans="1:3">
      <c r="A191" s="765" t="s">
        <v>1793</v>
      </c>
      <c r="B191" s="748">
        <v>2</v>
      </c>
      <c r="C191" s="749">
        <v>2283889</v>
      </c>
    </row>
    <row r="192" spans="1:3">
      <c r="A192" s="752" t="s">
        <v>1795</v>
      </c>
      <c r="B192" s="289">
        <v>0</v>
      </c>
      <c r="C192" s="755">
        <v>0</v>
      </c>
    </row>
    <row r="193" spans="1:3">
      <c r="A193" s="752" t="s">
        <v>1797</v>
      </c>
      <c r="B193" s="289">
        <v>0</v>
      </c>
      <c r="C193" s="755">
        <v>0</v>
      </c>
    </row>
    <row r="194" spans="1:3">
      <c r="A194" s="752" t="s">
        <v>164</v>
      </c>
      <c r="B194" s="289">
        <v>0</v>
      </c>
      <c r="C194" s="755">
        <v>0</v>
      </c>
    </row>
    <row r="195" spans="1:3">
      <c r="A195" s="752" t="s">
        <v>535</v>
      </c>
      <c r="B195" s="289">
        <v>1</v>
      </c>
      <c r="C195" s="755">
        <v>45000</v>
      </c>
    </row>
    <row r="196" spans="1:3">
      <c r="A196" s="752" t="s">
        <v>210</v>
      </c>
      <c r="B196" s="289">
        <v>0</v>
      </c>
      <c r="C196" s="755">
        <v>0</v>
      </c>
    </row>
    <row r="197" spans="1:3">
      <c r="A197" s="752" t="s">
        <v>172</v>
      </c>
      <c r="B197" s="289">
        <v>1</v>
      </c>
      <c r="C197" s="755">
        <v>22114.45</v>
      </c>
    </row>
    <row r="198" spans="1:3">
      <c r="A198" s="752" t="s">
        <v>1803</v>
      </c>
      <c r="B198" s="289">
        <v>0</v>
      </c>
      <c r="C198" s="755">
        <v>0</v>
      </c>
    </row>
    <row r="199" spans="1:3">
      <c r="A199" s="752" t="s">
        <v>321</v>
      </c>
      <c r="B199" s="289">
        <v>0</v>
      </c>
      <c r="C199" s="755">
        <v>0</v>
      </c>
    </row>
    <row r="200" spans="1:3">
      <c r="A200" s="758" t="s">
        <v>201</v>
      </c>
      <c r="B200" s="626">
        <v>0</v>
      </c>
      <c r="C200" s="759">
        <v>0</v>
      </c>
    </row>
    <row r="201" spans="1:3" ht="38.25">
      <c r="A201" s="761" t="s">
        <v>430</v>
      </c>
      <c r="B201" s="762">
        <v>1</v>
      </c>
      <c r="C201" s="763">
        <v>240803</v>
      </c>
    </row>
    <row r="204" spans="1:3" ht="30">
      <c r="A204" s="754" t="s">
        <v>2020</v>
      </c>
      <c r="B204" s="769" t="s">
        <v>2023</v>
      </c>
      <c r="C204" s="745" t="s">
        <v>2019</v>
      </c>
    </row>
    <row r="205" spans="1:3">
      <c r="A205" s="765" t="s">
        <v>1793</v>
      </c>
      <c r="B205" s="750">
        <v>0</v>
      </c>
      <c r="C205" s="751">
        <v>0</v>
      </c>
    </row>
    <row r="206" spans="1:3">
      <c r="A206" s="752" t="s">
        <v>1795</v>
      </c>
      <c r="B206" s="135">
        <v>0</v>
      </c>
      <c r="C206" s="754">
        <v>0</v>
      </c>
    </row>
    <row r="207" spans="1:3">
      <c r="A207" s="752" t="s">
        <v>1797</v>
      </c>
      <c r="B207" s="135">
        <v>1</v>
      </c>
      <c r="C207" s="754">
        <v>122900</v>
      </c>
    </row>
    <row r="208" spans="1:3">
      <c r="A208" s="752" t="s">
        <v>164</v>
      </c>
      <c r="B208" s="135">
        <v>0</v>
      </c>
      <c r="C208" s="754">
        <v>0</v>
      </c>
    </row>
    <row r="209" spans="1:3">
      <c r="A209" s="752" t="s">
        <v>535</v>
      </c>
      <c r="B209" s="135">
        <v>0</v>
      </c>
      <c r="C209" s="754">
        <v>0</v>
      </c>
    </row>
    <row r="210" spans="1:3">
      <c r="A210" s="752" t="s">
        <v>210</v>
      </c>
      <c r="B210" s="135">
        <v>1</v>
      </c>
      <c r="C210" s="754">
        <v>35202</v>
      </c>
    </row>
    <row r="211" spans="1:3">
      <c r="A211" s="752" t="s">
        <v>172</v>
      </c>
      <c r="B211" s="135">
        <v>0</v>
      </c>
      <c r="C211" s="754">
        <v>0</v>
      </c>
    </row>
    <row r="212" spans="1:3">
      <c r="A212" s="752" t="s">
        <v>1803</v>
      </c>
      <c r="B212" s="135">
        <v>3</v>
      </c>
      <c r="C212" s="754">
        <v>12043.66</v>
      </c>
    </row>
    <row r="213" spans="1:3">
      <c r="A213" s="752" t="s">
        <v>321</v>
      </c>
      <c r="B213" s="135">
        <v>0</v>
      </c>
      <c r="C213" s="754">
        <v>0</v>
      </c>
    </row>
    <row r="214" spans="1:3">
      <c r="A214" s="758" t="s">
        <v>201</v>
      </c>
      <c r="B214" s="296">
        <v>0</v>
      </c>
      <c r="C214" s="760">
        <v>0</v>
      </c>
    </row>
    <row r="215" spans="1:3" ht="38.25">
      <c r="A215" s="761" t="s">
        <v>430</v>
      </c>
      <c r="B215" s="526">
        <v>0</v>
      </c>
      <c r="C215" s="764">
        <v>0</v>
      </c>
    </row>
    <row r="218" spans="1:3" ht="30">
      <c r="A218" s="801" t="s">
        <v>2020</v>
      </c>
      <c r="B218" s="800" t="s">
        <v>440</v>
      </c>
      <c r="C218" s="802" t="s">
        <v>2019</v>
      </c>
    </row>
    <row r="219" spans="1:3">
      <c r="A219" s="765" t="s">
        <v>1793</v>
      </c>
      <c r="B219" s="748">
        <v>22</v>
      </c>
      <c r="C219" s="803">
        <v>2790.32</v>
      </c>
    </row>
    <row r="220" spans="1:3">
      <c r="A220" s="752" t="s">
        <v>1795</v>
      </c>
      <c r="B220" s="289">
        <v>33</v>
      </c>
      <c r="C220" s="804">
        <v>7598.98</v>
      </c>
    </row>
    <row r="221" spans="1:3">
      <c r="A221" s="752" t="s">
        <v>1797</v>
      </c>
      <c r="B221" s="289">
        <v>15</v>
      </c>
      <c r="C221" s="804">
        <v>592.24130000000002</v>
      </c>
    </row>
    <row r="222" spans="1:3">
      <c r="A222" s="752" t="s">
        <v>164</v>
      </c>
      <c r="B222" s="289">
        <v>13</v>
      </c>
      <c r="C222" s="804">
        <v>4076.89</v>
      </c>
    </row>
    <row r="223" spans="1:3">
      <c r="A223" s="752" t="s">
        <v>535</v>
      </c>
      <c r="B223" s="289">
        <f>AE8</f>
        <v>6</v>
      </c>
      <c r="C223" s="805">
        <f>AF8</f>
        <v>1220.7280499999999</v>
      </c>
    </row>
    <row r="224" spans="1:3">
      <c r="A224" s="752" t="s">
        <v>210</v>
      </c>
      <c r="B224" s="289">
        <v>33</v>
      </c>
      <c r="C224" s="804">
        <v>3131.77</v>
      </c>
    </row>
    <row r="225" spans="1:3">
      <c r="A225" s="752" t="s">
        <v>172</v>
      </c>
      <c r="B225" s="289">
        <v>23</v>
      </c>
      <c r="C225" s="804">
        <v>1334.32</v>
      </c>
    </row>
    <row r="226" spans="1:3">
      <c r="A226" s="752" t="s">
        <v>1803</v>
      </c>
      <c r="B226" s="289">
        <v>7</v>
      </c>
      <c r="C226" s="804">
        <v>3841.62</v>
      </c>
    </row>
    <row r="227" spans="1:3">
      <c r="A227" s="752" t="s">
        <v>321</v>
      </c>
      <c r="B227" s="289">
        <f>AE12</f>
        <v>21</v>
      </c>
      <c r="C227" s="806">
        <f>AF12</f>
        <v>4860.8429999999998</v>
      </c>
    </row>
    <row r="228" spans="1:3">
      <c r="A228" s="758" t="s">
        <v>201</v>
      </c>
      <c r="B228" s="626">
        <v>14</v>
      </c>
      <c r="C228" s="807">
        <v>1894.04</v>
      </c>
    </row>
    <row r="229" spans="1:3" ht="38.25">
      <c r="A229" s="761" t="s">
        <v>430</v>
      </c>
      <c r="B229" s="762">
        <v>0</v>
      </c>
      <c r="C229" s="808">
        <v>0</v>
      </c>
    </row>
    <row r="232" spans="1:3">
      <c r="A232" s="801" t="s">
        <v>2020</v>
      </c>
      <c r="B232" s="777" t="s">
        <v>2024</v>
      </c>
      <c r="C232" s="778" t="s">
        <v>2019</v>
      </c>
    </row>
    <row r="233" spans="1:3">
      <c r="A233" s="765" t="s">
        <v>1793</v>
      </c>
      <c r="B233" s="781">
        <v>0</v>
      </c>
      <c r="C233" s="782">
        <v>0</v>
      </c>
    </row>
    <row r="234" spans="1:3">
      <c r="A234" s="752" t="s">
        <v>1795</v>
      </c>
      <c r="B234" s="127">
        <v>0</v>
      </c>
      <c r="C234" s="785">
        <v>0</v>
      </c>
    </row>
    <row r="235" spans="1:3">
      <c r="A235" s="752" t="s">
        <v>1797</v>
      </c>
      <c r="B235" s="127">
        <v>0</v>
      </c>
      <c r="C235" s="785">
        <v>0</v>
      </c>
    </row>
    <row r="236" spans="1:3">
      <c r="A236" s="752" t="s">
        <v>164</v>
      </c>
      <c r="B236" s="127">
        <v>10</v>
      </c>
      <c r="C236" s="785">
        <v>29963.06</v>
      </c>
    </row>
    <row r="237" spans="1:3">
      <c r="A237" s="752" t="s">
        <v>535</v>
      </c>
      <c r="B237" s="127">
        <v>0</v>
      </c>
      <c r="C237" s="785">
        <v>0</v>
      </c>
    </row>
    <row r="238" spans="1:3">
      <c r="A238" s="752" t="s">
        <v>210</v>
      </c>
      <c r="B238" s="127">
        <v>1</v>
      </c>
      <c r="C238" s="785">
        <v>311.26</v>
      </c>
    </row>
    <row r="239" spans="1:3">
      <c r="A239" s="752" t="s">
        <v>172</v>
      </c>
      <c r="B239" s="127">
        <v>1</v>
      </c>
      <c r="C239" s="785">
        <v>0</v>
      </c>
    </row>
    <row r="240" spans="1:3">
      <c r="A240" s="752" t="s">
        <v>1803</v>
      </c>
      <c r="B240" s="127">
        <v>14</v>
      </c>
      <c r="C240" s="785">
        <v>7193.05</v>
      </c>
    </row>
    <row r="241" spans="1:3">
      <c r="A241" s="752" t="s">
        <v>321</v>
      </c>
      <c r="B241" s="127">
        <v>0</v>
      </c>
      <c r="C241" s="785">
        <v>0</v>
      </c>
    </row>
    <row r="242" spans="1:3">
      <c r="A242" s="758" t="s">
        <v>201</v>
      </c>
      <c r="B242" s="293">
        <v>4</v>
      </c>
      <c r="C242" s="794">
        <v>18573.39</v>
      </c>
    </row>
    <row r="243" spans="1:3" ht="38.25">
      <c r="A243" s="761" t="s">
        <v>430</v>
      </c>
      <c r="B243" s="130">
        <v>0</v>
      </c>
      <c r="C243" s="797">
        <v>0</v>
      </c>
    </row>
  </sheetData>
  <mergeCells count="17">
    <mergeCell ref="AC2:AD2"/>
    <mergeCell ref="AE2:AF2"/>
    <mergeCell ref="AG2:AH2"/>
    <mergeCell ref="C1:AF1"/>
    <mergeCell ref="C2:D2"/>
    <mergeCell ref="E2:F2"/>
    <mergeCell ref="G2:H2"/>
    <mergeCell ref="I2:J2"/>
    <mergeCell ref="K2:L2"/>
    <mergeCell ref="M2:N2"/>
    <mergeCell ref="O2:P2"/>
    <mergeCell ref="Q2:R2"/>
    <mergeCell ref="S2:T2"/>
    <mergeCell ref="U2:V2"/>
    <mergeCell ref="W2:X2"/>
    <mergeCell ref="Y2:Z2"/>
    <mergeCell ref="AA2:AB2"/>
  </mergeCells>
  <pageMargins left="0.69930555555555596" right="0.69930555555555596" top="0.75" bottom="0.75" header="0.3" footer="0.3"/>
  <pageSetup orientation="portrait"/>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G16"/>
  <sheetViews>
    <sheetView workbookViewId="0">
      <selection activeCell="B1" sqref="B1:F1"/>
    </sheetView>
  </sheetViews>
  <sheetFormatPr baseColWidth="10" defaultColWidth="9" defaultRowHeight="15"/>
  <cols>
    <col min="2" max="2" width="29.5703125" customWidth="1"/>
    <col min="3" max="3" width="9.7109375" customWidth="1"/>
    <col min="4" max="4" width="13" customWidth="1"/>
    <col min="5" max="5" width="13.28515625" customWidth="1"/>
    <col min="6" max="6" width="12.140625" customWidth="1"/>
    <col min="7" max="7" width="4.140625" customWidth="1"/>
  </cols>
  <sheetData>
    <row r="1" spans="2:7">
      <c r="B1" s="1129" t="s">
        <v>2025</v>
      </c>
      <c r="C1" s="1130"/>
      <c r="D1" s="1130"/>
      <c r="E1" s="1130"/>
      <c r="F1" s="1131"/>
    </row>
    <row r="2" spans="2:7" ht="60.75" customHeight="1">
      <c r="B2" s="723" t="s">
        <v>5</v>
      </c>
      <c r="C2" s="724" t="s">
        <v>2026</v>
      </c>
      <c r="D2" s="725" t="s">
        <v>2019</v>
      </c>
      <c r="E2" s="726" t="s">
        <v>2025</v>
      </c>
      <c r="F2" s="727" t="s">
        <v>2027</v>
      </c>
    </row>
    <row r="3" spans="2:7">
      <c r="B3" s="728" t="s">
        <v>155</v>
      </c>
      <c r="C3" s="684">
        <f>'LISTADO SIGAP'!K373</f>
        <v>28</v>
      </c>
      <c r="D3" s="729">
        <f>'LISTADO SIGAP'!I373</f>
        <v>125882.76000000001</v>
      </c>
      <c r="E3" s="730">
        <f>(D3*100)/D14</f>
        <v>3.6264660617354929</v>
      </c>
      <c r="F3" s="731">
        <f>(D3*100)/F16</f>
        <v>1.1560649836071595</v>
      </c>
    </row>
    <row r="4" spans="2:7">
      <c r="B4" s="732" t="s">
        <v>164</v>
      </c>
      <c r="C4" s="386">
        <f>'LISTADO SIGAP'!K374</f>
        <v>38</v>
      </c>
      <c r="D4" s="695">
        <f>'LISTADO SIGAP'!I374</f>
        <v>61053.943599999999</v>
      </c>
      <c r="E4" s="730">
        <f>(D4*100)/D14</f>
        <v>1.7588592306088053</v>
      </c>
      <c r="F4" s="731">
        <f>(D4*100)/F16</f>
        <v>0.56069890989907145</v>
      </c>
    </row>
    <row r="5" spans="2:7">
      <c r="B5" s="732" t="s">
        <v>201</v>
      </c>
      <c r="C5" s="386">
        <f>'LISTADO SIGAP'!K380</f>
        <v>27</v>
      </c>
      <c r="D5" s="695">
        <f>'LISTADO SIGAP'!I380</f>
        <v>27069.787000000008</v>
      </c>
      <c r="E5" s="730">
        <f>(D5*100)/D14</f>
        <v>0.77983406031063085</v>
      </c>
      <c r="F5" s="731">
        <f>(D5*100)/F16</f>
        <v>0.24859983102058064</v>
      </c>
    </row>
    <row r="6" spans="2:7">
      <c r="B6" s="732" t="s">
        <v>321</v>
      </c>
      <c r="C6" s="733">
        <f>'LISTADO SIGAP'!K379</f>
        <v>23</v>
      </c>
      <c r="D6" s="695">
        <f>'LISTADO SIGAP'!I379</f>
        <v>7910.3611830000018</v>
      </c>
      <c r="E6" s="730">
        <f>(D6*100)/D14</f>
        <v>0.22788391648085354</v>
      </c>
      <c r="F6" s="731">
        <f>(D6*100)/F16</f>
        <v>7.2646100000918382E-2</v>
      </c>
    </row>
    <row r="7" spans="2:7">
      <c r="B7" s="732" t="s">
        <v>535</v>
      </c>
      <c r="C7" s="733">
        <f>'LISTADO SIGAP'!K375</f>
        <v>24</v>
      </c>
      <c r="D7" s="695">
        <f>'LISTADO SIGAP'!I375</f>
        <v>57093.56205</v>
      </c>
      <c r="E7" s="730">
        <f>(D7*100)/D14</f>
        <v>1.644767441688715</v>
      </c>
      <c r="F7" s="731">
        <f>(D7*100)/F16</f>
        <v>0.5243280960427591</v>
      </c>
    </row>
    <row r="8" spans="2:7">
      <c r="B8" s="732" t="s">
        <v>210</v>
      </c>
      <c r="C8" s="733">
        <f>'LISTADO SIGAP'!K376</f>
        <v>43</v>
      </c>
      <c r="D8" s="695">
        <f>'LISTADO SIGAP'!I376</f>
        <v>298492.78700000001</v>
      </c>
      <c r="E8" s="730">
        <f>(D8*100)/D14</f>
        <v>8.599064413016853</v>
      </c>
      <c r="F8" s="731">
        <f>(D8*100)/F16</f>
        <v>2.7412574915739887</v>
      </c>
    </row>
    <row r="9" spans="2:7">
      <c r="B9" s="732" t="s">
        <v>172</v>
      </c>
      <c r="C9" s="733">
        <f>'LISTADO SIGAP'!K377</f>
        <v>32</v>
      </c>
      <c r="D9" s="695">
        <f>'LISTADO SIGAP'!I377</f>
        <v>28354.458499999997</v>
      </c>
      <c r="E9" s="730">
        <f>(D9*100)/D14</f>
        <v>0.81684323928977609</v>
      </c>
      <c r="F9" s="731">
        <f>(D9*100)/F16</f>
        <v>0.26039782255324223</v>
      </c>
    </row>
    <row r="10" spans="2:7">
      <c r="B10" s="732" t="s">
        <v>32</v>
      </c>
      <c r="C10" s="733">
        <f>'LISTADO SIGAP'!K371</f>
        <v>63</v>
      </c>
      <c r="D10" s="695">
        <f>'LISTADO SIGAP'!I371</f>
        <v>2574961.3499999992</v>
      </c>
      <c r="E10" s="730">
        <f>(D10*100)/D14</f>
        <v>74.180212970033423</v>
      </c>
      <c r="F10" s="731">
        <f>(D10*100)/F16</f>
        <v>23.647580104510091</v>
      </c>
    </row>
    <row r="11" spans="2:7">
      <c r="B11" s="732" t="s">
        <v>188</v>
      </c>
      <c r="C11" s="733">
        <f>'LISTADO SIGAP'!K378</f>
        <v>27</v>
      </c>
      <c r="D11" s="695">
        <f>'LISTADO SIGAP'!I378</f>
        <v>25844.428</v>
      </c>
      <c r="E11" s="730">
        <f>(D11*100)/D14</f>
        <v>0.74453357256360198</v>
      </c>
      <c r="F11" s="731">
        <f>(D11*100)/F16</f>
        <v>0.23734654556474941</v>
      </c>
    </row>
    <row r="12" spans="2:7">
      <c r="B12" s="732" t="s">
        <v>180</v>
      </c>
      <c r="C12" s="733">
        <f>'LISTADO SIGAP'!K372</f>
        <v>43</v>
      </c>
      <c r="D12" s="695">
        <f>'LISTADO SIGAP'!I372</f>
        <v>24023.734757999999</v>
      </c>
      <c r="E12" s="730">
        <f>(D12*100)/D14</f>
        <v>0.69208252802863812</v>
      </c>
      <c r="F12" s="731">
        <f>(D12*100)/F16</f>
        <v>0.22062591040417304</v>
      </c>
    </row>
    <row r="13" spans="2:7">
      <c r="B13" s="734" t="s">
        <v>430</v>
      </c>
      <c r="C13" s="735">
        <v>1</v>
      </c>
      <c r="D13" s="736">
        <f>'LISTADO SIGAP'!I370</f>
        <v>240536.82</v>
      </c>
      <c r="E13" s="730">
        <f>(D13*100)/D14</f>
        <v>6.929452566243218</v>
      </c>
      <c r="F13" s="731">
        <f>(D13*100)/F16</f>
        <v>2.209009358153716</v>
      </c>
    </row>
    <row r="14" spans="2:7">
      <c r="B14" s="737" t="s">
        <v>2028</v>
      </c>
      <c r="C14" s="738">
        <f>SUM(C3:C13)</f>
        <v>349</v>
      </c>
      <c r="D14" s="739">
        <f>SUM(D3:D13)</f>
        <v>3471223.9920909987</v>
      </c>
      <c r="E14" s="738">
        <f>SUM(E3:E13)</f>
        <v>100</v>
      </c>
      <c r="F14" s="740">
        <f>SUM(F3:F13)</f>
        <v>31.878555153330446</v>
      </c>
    </row>
    <row r="15" spans="2:7">
      <c r="C15" s="489"/>
    </row>
    <row r="16" spans="2:7">
      <c r="F16">
        <v>10888900</v>
      </c>
      <c r="G16" t="s">
        <v>2029</v>
      </c>
    </row>
  </sheetData>
  <mergeCells count="1">
    <mergeCell ref="B1:F1"/>
  </mergeCells>
  <printOptions horizontalCentered="1" verticalCentered="1"/>
  <pageMargins left="0.51180555555555596" right="0.51180555555555596" top="0.55000000000000004" bottom="0.55000000000000004" header="0.31388888888888899" footer="0.31388888888888899"/>
  <pageSetup scale="90" orientation="portrait"/>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86"/>
  <sheetViews>
    <sheetView workbookViewId="0">
      <pane ySplit="5" topLeftCell="A36" activePane="bottomLeft" state="frozen"/>
      <selection pane="bottomLeft" activeCell="H36" sqref="H36"/>
    </sheetView>
  </sheetViews>
  <sheetFormatPr baseColWidth="10" defaultColWidth="9" defaultRowHeight="15"/>
  <cols>
    <col min="3" max="3" width="11.7109375" customWidth="1"/>
    <col min="5" max="5" width="14.85546875" customWidth="1"/>
    <col min="6" max="6" width="14.42578125" customWidth="1"/>
    <col min="8" max="8" width="14" customWidth="1"/>
    <col min="9" max="9" width="15" customWidth="1"/>
    <col min="12" max="12" width="15.5703125" customWidth="1"/>
  </cols>
  <sheetData>
    <row r="2" spans="1:16" ht="21">
      <c r="A2" s="1132" t="s">
        <v>2030</v>
      </c>
      <c r="B2" s="1132"/>
      <c r="C2" s="1132"/>
      <c r="D2" s="1132"/>
      <c r="E2" s="1132"/>
      <c r="F2" s="1132"/>
      <c r="G2" s="1132"/>
      <c r="H2" s="1132"/>
      <c r="I2" s="1132"/>
      <c r="J2" s="1132"/>
      <c r="K2" s="1132"/>
      <c r="L2" s="1132"/>
    </row>
    <row r="3" spans="1:16" ht="15" customHeight="1">
      <c r="A3" s="1142" t="s">
        <v>2031</v>
      </c>
      <c r="B3" s="1145" t="s">
        <v>2032</v>
      </c>
      <c r="C3" s="1146"/>
      <c r="D3" s="1133" t="s">
        <v>2033</v>
      </c>
      <c r="E3" s="1134"/>
      <c r="F3" s="1135"/>
      <c r="G3" s="1133" t="s">
        <v>2033</v>
      </c>
      <c r="H3" s="1134"/>
      <c r="I3" s="1135"/>
      <c r="J3" s="1133" t="s">
        <v>2034</v>
      </c>
      <c r="K3" s="1134"/>
      <c r="L3" s="1136"/>
    </row>
    <row r="4" spans="1:16">
      <c r="A4" s="1143"/>
      <c r="B4" s="1147"/>
      <c r="C4" s="1148"/>
      <c r="D4" s="1137" t="s">
        <v>2035</v>
      </c>
      <c r="E4" s="1138"/>
      <c r="F4" s="1139"/>
      <c r="G4" s="1137" t="s">
        <v>2036</v>
      </c>
      <c r="H4" s="1138"/>
      <c r="I4" s="1139"/>
      <c r="J4" s="1140" t="s">
        <v>2037</v>
      </c>
      <c r="K4" s="1140"/>
      <c r="L4" s="1141"/>
    </row>
    <row r="5" spans="1:16">
      <c r="A5" s="1144"/>
      <c r="B5" s="699" t="s">
        <v>0</v>
      </c>
      <c r="C5" s="699" t="s">
        <v>2038</v>
      </c>
      <c r="D5" s="699" t="s">
        <v>2039</v>
      </c>
      <c r="E5" s="700" t="s">
        <v>2040</v>
      </c>
      <c r="F5" s="701" t="s">
        <v>2041</v>
      </c>
      <c r="G5" s="699" t="s">
        <v>2039</v>
      </c>
      <c r="H5" s="700" t="s">
        <v>2040</v>
      </c>
      <c r="I5" s="701" t="s">
        <v>2041</v>
      </c>
      <c r="J5" s="699" t="s">
        <v>0</v>
      </c>
      <c r="K5" s="720" t="s">
        <v>2019</v>
      </c>
      <c r="L5" s="721" t="s">
        <v>2042</v>
      </c>
    </row>
    <row r="6" spans="1:16">
      <c r="A6" s="702">
        <v>1955</v>
      </c>
      <c r="B6" s="702">
        <v>0</v>
      </c>
      <c r="C6" s="702">
        <v>0</v>
      </c>
      <c r="D6" s="702">
        <v>10</v>
      </c>
      <c r="E6" s="703">
        <f>'LISTADO SIGAP'!I3+'LISTADO SIGAP'!I22+'LISTADO SIGAP'!I23+'LISTADO SIGAP'!I24+'LISTADO SIGAP'!I25+'LISTADO SIGAP'!I26+'LISTADO SIGAP'!I27+'LISTADO SIGAP'!I28+'LISTADO SIGAP'!I29+'LISTADO SIGAP'!I30</f>
        <v>191795.48</v>
      </c>
      <c r="F6" s="703">
        <f>'LISTADO SIGAP'!J3+'LISTADO SIGAP'!J22+'LISTADO SIGAP'!J23+'LISTADO SIGAP'!J24+'LISTADO SIGAP'!J25+'LISTADO SIGAP'!J26+'LISTADO SIGAP'!J27+'LISTADO SIGAP'!J28+'LISTADO SIGAP'!J29+'LISTADO SIGAP'!J30</f>
        <v>136730.48000000001</v>
      </c>
      <c r="G6" s="704">
        <v>10</v>
      </c>
      <c r="H6" s="703">
        <f t="shared" ref="H6:J6" si="0">E6</f>
        <v>191795.48</v>
      </c>
      <c r="I6" s="703">
        <f t="shared" si="0"/>
        <v>136730.48000000001</v>
      </c>
      <c r="J6" s="704">
        <f t="shared" si="0"/>
        <v>10</v>
      </c>
      <c r="K6" s="703">
        <f>F6</f>
        <v>136730.48000000001</v>
      </c>
      <c r="L6" s="288">
        <f>(K6*100)/10888900</f>
        <v>1.2556868003195918</v>
      </c>
      <c r="N6" s="362"/>
      <c r="O6" s="362"/>
      <c r="P6" s="362"/>
    </row>
    <row r="7" spans="1:16">
      <c r="A7" s="515">
        <v>1956</v>
      </c>
      <c r="B7" s="515">
        <v>0</v>
      </c>
      <c r="C7" s="515">
        <v>0</v>
      </c>
      <c r="D7" s="515">
        <v>31</v>
      </c>
      <c r="E7" s="705">
        <f>'LISTADO SIGAP'!I31+'LISTADO SIGAP'!I32+'LISTADO SIGAP'!I33+'LISTADO SIGAP'!I34+'LISTADO SIGAP'!I35+'LISTADO SIGAP'!I36+'LISTADO SIGAP'!I37+'LISTADO SIGAP'!I38+'LISTADO SIGAP'!I39+'LISTADO SIGAP'!I40+'LISTADO SIGAP'!I41+'LISTADO SIGAP'!I42+'LISTADO SIGAP'!I43+'LISTADO SIGAP'!I44+'LISTADO SIGAP'!I45+'LISTADO SIGAP'!I46+'LISTADO SIGAP'!I47+'LISTADO SIGAP'!I48+'LISTADO SIGAP'!I49+'LISTADO SIGAP'!I50+'LISTADO SIGAP'!I52+'LISTADO SIGAP'!I53+'LISTADO SIGAP'!I54+'LISTADO SIGAP'!I55+'LISTADO SIGAP'!I56+'LISTADO SIGAP'!I57+'LISTADO SIGAP'!I58+'LISTADO SIGAP'!I59+'LISTADO SIGAP'!I60+'LISTADO SIGAP'!I61+'LISTADO SIGAP'!I62</f>
        <v>72087.668999999994</v>
      </c>
      <c r="F7" s="705">
        <f>'LISTADO SIGAP'!J31+'LISTADO SIGAP'!J32+'LISTADO SIGAP'!J33+'LISTADO SIGAP'!J34+'LISTADO SIGAP'!J35+'LISTADO SIGAP'!J36+'LISTADO SIGAP'!J37+'LISTADO SIGAP'!J38+'LISTADO SIGAP'!J39+'LISTADO SIGAP'!J40+'LISTADO SIGAP'!J41+'LISTADO SIGAP'!J42+'LISTADO SIGAP'!J43+'LISTADO SIGAP'!J44+'LISTADO SIGAP'!J45+'LISTADO SIGAP'!J46+'LISTADO SIGAP'!J47+'LISTADO SIGAP'!J48+'LISTADO SIGAP'!J49+'LISTADO SIGAP'!J50+'LISTADO SIGAP'!J52+'LISTADO SIGAP'!J53+'LISTADO SIGAP'!J54+'LISTADO SIGAP'!J55+'LISTADO SIGAP'!J56+'LISTADO SIGAP'!J57+'LISTADO SIGAP'!J58+'LISTADO SIGAP'!J59+'LISTADO SIGAP'!J60+'LISTADO SIGAP'!J61+'LISTADO SIGAP'!J62</f>
        <v>56942.758999999991</v>
      </c>
      <c r="G7" s="706">
        <f t="shared" ref="G7:I9" si="1">G6+D7</f>
        <v>41</v>
      </c>
      <c r="H7" s="705">
        <f t="shared" si="1"/>
        <v>263883.14899999998</v>
      </c>
      <c r="I7" s="705">
        <f t="shared" si="1"/>
        <v>193673.239</v>
      </c>
      <c r="J7" s="706">
        <f>G7</f>
        <v>41</v>
      </c>
      <c r="K7" s="705">
        <f>I7</f>
        <v>193673.239</v>
      </c>
      <c r="L7" s="288">
        <f t="shared" ref="L7:L42" si="2">(K7*100)/10888900</f>
        <v>1.7786299718061511</v>
      </c>
    </row>
    <row r="8" spans="1:16">
      <c r="A8" s="515">
        <v>1964</v>
      </c>
      <c r="B8" s="515">
        <v>0</v>
      </c>
      <c r="C8" s="515">
        <v>0</v>
      </c>
      <c r="D8" s="515">
        <v>2</v>
      </c>
      <c r="E8" s="705">
        <f>'LISTADO SIGAP'!I51+'LISTADO SIGAP'!I63</f>
        <v>1099.7281829999999</v>
      </c>
      <c r="F8" s="705">
        <f>'LISTADO SIGAP'!J51+'LISTADO SIGAP'!J63</f>
        <v>1099.7281829999999</v>
      </c>
      <c r="G8" s="706">
        <f t="shared" si="1"/>
        <v>43</v>
      </c>
      <c r="H8" s="705">
        <f t="shared" si="1"/>
        <v>264982.87718299998</v>
      </c>
      <c r="I8" s="705">
        <f t="shared" si="1"/>
        <v>194772.967183</v>
      </c>
      <c r="J8" s="706">
        <f t="shared" ref="J8:J42" si="3">G8</f>
        <v>43</v>
      </c>
      <c r="K8" s="705">
        <f>I8</f>
        <v>194772.967183</v>
      </c>
      <c r="L8" s="288">
        <f t="shared" si="2"/>
        <v>1.7887295060382591</v>
      </c>
    </row>
    <row r="9" spans="1:16">
      <c r="A9" s="515">
        <v>1969</v>
      </c>
      <c r="B9" s="515">
        <v>0</v>
      </c>
      <c r="C9" s="515">
        <v>0</v>
      </c>
      <c r="D9" s="515">
        <v>1</v>
      </c>
      <c r="E9" s="705">
        <f>'LISTADO SIGAP'!I64</f>
        <v>2000</v>
      </c>
      <c r="F9" s="705">
        <f>'LISTADO SIGAP'!J64</f>
        <v>2000</v>
      </c>
      <c r="G9" s="706">
        <f t="shared" si="1"/>
        <v>44</v>
      </c>
      <c r="H9" s="705">
        <f t="shared" si="1"/>
        <v>266982.87718299998</v>
      </c>
      <c r="I9" s="705">
        <f t="shared" si="1"/>
        <v>196772.967183</v>
      </c>
      <c r="J9" s="706">
        <f t="shared" si="3"/>
        <v>44</v>
      </c>
      <c r="K9" s="705">
        <f t="shared" ref="K9:K42" si="4">I9</f>
        <v>196772.967183</v>
      </c>
      <c r="L9" s="288">
        <f t="shared" si="2"/>
        <v>1.807096834234863</v>
      </c>
    </row>
    <row r="10" spans="1:16">
      <c r="A10" s="515">
        <v>1970</v>
      </c>
      <c r="B10" s="515">
        <v>0</v>
      </c>
      <c r="C10" s="515">
        <v>0</v>
      </c>
      <c r="D10" s="515">
        <v>0</v>
      </c>
      <c r="E10" s="705">
        <v>0</v>
      </c>
      <c r="F10" s="705">
        <v>0</v>
      </c>
      <c r="G10" s="706">
        <f t="shared" ref="G10:G42" si="5">G9+D10</f>
        <v>44</v>
      </c>
      <c r="H10" s="705">
        <f t="shared" ref="H10:H42" si="6">H9+E10</f>
        <v>266982.87718299998</v>
      </c>
      <c r="I10" s="705">
        <f t="shared" ref="I10:I42" si="7">I9+F10</f>
        <v>196772.967183</v>
      </c>
      <c r="J10" s="706">
        <f t="shared" si="3"/>
        <v>44</v>
      </c>
      <c r="K10" s="705">
        <f t="shared" si="4"/>
        <v>196772.967183</v>
      </c>
      <c r="L10" s="288">
        <f t="shared" si="2"/>
        <v>1.807096834234863</v>
      </c>
    </row>
    <row r="11" spans="1:16">
      <c r="A11" s="515">
        <v>1972</v>
      </c>
      <c r="B11" s="515">
        <v>0</v>
      </c>
      <c r="C11" s="515">
        <v>0</v>
      </c>
      <c r="D11" s="515">
        <v>1</v>
      </c>
      <c r="E11" s="705">
        <f>'LISTADO SIGAP'!I65</f>
        <v>8</v>
      </c>
      <c r="F11" s="705">
        <f>'LISTADO SIGAP'!J65</f>
        <v>8</v>
      </c>
      <c r="G11" s="706">
        <f t="shared" si="5"/>
        <v>45</v>
      </c>
      <c r="H11" s="705">
        <f t="shared" si="6"/>
        <v>266990.87718299998</v>
      </c>
      <c r="I11" s="705">
        <f t="shared" si="7"/>
        <v>196780.967183</v>
      </c>
      <c r="J11" s="706">
        <f t="shared" si="3"/>
        <v>45</v>
      </c>
      <c r="K11" s="705">
        <f t="shared" si="4"/>
        <v>196780.967183</v>
      </c>
      <c r="L11" s="288">
        <f t="shared" si="2"/>
        <v>1.8071703035476494</v>
      </c>
    </row>
    <row r="12" spans="1:16">
      <c r="A12" s="515">
        <v>1976</v>
      </c>
      <c r="B12" s="515">
        <v>0</v>
      </c>
      <c r="C12" s="515">
        <v>0</v>
      </c>
      <c r="D12" s="515">
        <v>0</v>
      </c>
      <c r="E12" s="705">
        <v>0</v>
      </c>
      <c r="F12" s="705">
        <v>0</v>
      </c>
      <c r="G12" s="706">
        <f t="shared" si="5"/>
        <v>45</v>
      </c>
      <c r="H12" s="705">
        <f t="shared" si="6"/>
        <v>266990.87718299998</v>
      </c>
      <c r="I12" s="705">
        <f t="shared" si="7"/>
        <v>196780.967183</v>
      </c>
      <c r="J12" s="706">
        <f t="shared" si="3"/>
        <v>45</v>
      </c>
      <c r="K12" s="705">
        <f t="shared" si="4"/>
        <v>196780.967183</v>
      </c>
      <c r="L12" s="288">
        <f t="shared" si="2"/>
        <v>1.8071703035476494</v>
      </c>
    </row>
    <row r="13" spans="1:16">
      <c r="A13" s="515">
        <v>1977</v>
      </c>
      <c r="B13" s="515">
        <v>0</v>
      </c>
      <c r="C13" s="515">
        <v>0</v>
      </c>
      <c r="D13" s="515">
        <v>2</v>
      </c>
      <c r="E13" s="705">
        <f>'LISTADO SIGAP'!I66+'LISTADO SIGAP'!I67</f>
        <v>3783.2919999999999</v>
      </c>
      <c r="F13" s="705">
        <f>'LISTADO SIGAP'!J66+'LISTADO SIGAP'!J67</f>
        <v>3783.2919999999999</v>
      </c>
      <c r="G13" s="706">
        <f t="shared" si="5"/>
        <v>47</v>
      </c>
      <c r="H13" s="705">
        <f t="shared" si="6"/>
        <v>270774.16918299999</v>
      </c>
      <c r="I13" s="705">
        <f t="shared" si="7"/>
        <v>200564.25918299999</v>
      </c>
      <c r="J13" s="706">
        <f t="shared" si="3"/>
        <v>47</v>
      </c>
      <c r="K13" s="705">
        <f t="shared" si="4"/>
        <v>200564.25918299999</v>
      </c>
      <c r="L13" s="288">
        <f t="shared" si="2"/>
        <v>1.8419147864614422</v>
      </c>
    </row>
    <row r="14" spans="1:16">
      <c r="A14" s="515">
        <v>1980</v>
      </c>
      <c r="B14" s="515">
        <v>0</v>
      </c>
      <c r="C14" s="515">
        <v>0</v>
      </c>
      <c r="D14" s="515">
        <v>2</v>
      </c>
      <c r="E14" s="705">
        <f>'LISTADO SIGAP'!I68+'LISTADO SIGAP'!I69</f>
        <v>1186.0029999999999</v>
      </c>
      <c r="F14" s="705">
        <f>'LISTADO SIGAP'!J68+'LISTADO SIGAP'!J69</f>
        <v>81.003</v>
      </c>
      <c r="G14" s="706">
        <f t="shared" si="5"/>
        <v>49</v>
      </c>
      <c r="H14" s="705">
        <f t="shared" si="6"/>
        <v>271960.17218300002</v>
      </c>
      <c r="I14" s="705">
        <f t="shared" si="7"/>
        <v>200645.26218299998</v>
      </c>
      <c r="J14" s="706">
        <f t="shared" si="3"/>
        <v>49</v>
      </c>
      <c r="K14" s="705">
        <f t="shared" si="4"/>
        <v>200645.26218299998</v>
      </c>
      <c r="L14" s="288">
        <f t="shared" si="2"/>
        <v>1.8426586908043971</v>
      </c>
    </row>
    <row r="15" spans="1:16">
      <c r="A15" s="515">
        <v>1987</v>
      </c>
      <c r="B15" s="515">
        <v>0</v>
      </c>
      <c r="C15" s="515">
        <v>0</v>
      </c>
      <c r="D15" s="515">
        <v>1</v>
      </c>
      <c r="E15" s="705">
        <f>'LISTADO SIGAP'!I70</f>
        <v>22114.45</v>
      </c>
      <c r="F15" s="705">
        <f>'LISTADO SIGAP'!J70</f>
        <v>22114.45</v>
      </c>
      <c r="G15" s="706">
        <f t="shared" si="5"/>
        <v>50</v>
      </c>
      <c r="H15" s="705">
        <f t="shared" si="6"/>
        <v>294074.62218300003</v>
      </c>
      <c r="I15" s="705">
        <f t="shared" si="7"/>
        <v>222759.712183</v>
      </c>
      <c r="J15" s="706">
        <f t="shared" si="3"/>
        <v>50</v>
      </c>
      <c r="K15" s="705">
        <f t="shared" si="4"/>
        <v>222759.712183</v>
      </c>
      <c r="L15" s="288">
        <f t="shared" si="2"/>
        <v>2.0457503713230905</v>
      </c>
    </row>
    <row r="16" spans="1:16">
      <c r="A16" s="515">
        <v>1989</v>
      </c>
      <c r="B16" s="515">
        <v>0</v>
      </c>
      <c r="C16" s="515">
        <v>0</v>
      </c>
      <c r="D16" s="515">
        <v>1</v>
      </c>
      <c r="E16" s="705">
        <f>'LISTADO SIGAP'!I4</f>
        <v>734.77</v>
      </c>
      <c r="F16" s="705">
        <f>'LISTADO SIGAP'!J4</f>
        <v>0</v>
      </c>
      <c r="G16" s="706">
        <f t="shared" si="5"/>
        <v>51</v>
      </c>
      <c r="H16" s="705">
        <f t="shared" si="6"/>
        <v>294809.39218300005</v>
      </c>
      <c r="I16" s="705">
        <f t="shared" si="7"/>
        <v>222759.712183</v>
      </c>
      <c r="J16" s="706">
        <f t="shared" si="3"/>
        <v>51</v>
      </c>
      <c r="K16" s="705">
        <f t="shared" si="4"/>
        <v>222759.712183</v>
      </c>
      <c r="L16" s="288">
        <f t="shared" si="2"/>
        <v>2.0457503713230905</v>
      </c>
    </row>
    <row r="17" spans="1:12">
      <c r="A17" s="515">
        <v>1990</v>
      </c>
      <c r="B17" s="515">
        <v>0</v>
      </c>
      <c r="C17" s="515">
        <v>0</v>
      </c>
      <c r="D17" s="515">
        <v>9</v>
      </c>
      <c r="E17" s="705">
        <f>'LISTADO SIGAP'!I5+'LISTADO SIGAP'!I6+'LISTADO SIGAP'!I7+'LISTADO SIGAP'!I8+'LISTADO SIGAP'!I9+'LISTADO SIGAP'!I10+'LISTADO SIGAP'!I12+'LISTADO SIGAP'!I71+'LISTADO SIGAP'!I72</f>
        <v>3127514.82</v>
      </c>
      <c r="F17" s="705">
        <f>'LISTADO SIGAP'!J5+'LISTADO SIGAP'!J6+'LISTADO SIGAP'!J7+'LISTADO SIGAP'!J8+'LISTADO SIGAP'!J9+'LISTADO SIGAP'!J10+'LISTADO SIGAP'!J12+'LISTADO SIGAP'!J71+'LISTADO SIGAP'!J72</f>
        <v>2407005.8199999998</v>
      </c>
      <c r="G17" s="706">
        <f t="shared" si="5"/>
        <v>60</v>
      </c>
      <c r="H17" s="705">
        <f t="shared" si="6"/>
        <v>3422324.2121830001</v>
      </c>
      <c r="I17" s="705">
        <f t="shared" si="7"/>
        <v>2629765.5321829999</v>
      </c>
      <c r="J17" s="706">
        <f t="shared" si="3"/>
        <v>60</v>
      </c>
      <c r="K17" s="705">
        <f t="shared" si="4"/>
        <v>2629765.5321829999</v>
      </c>
      <c r="L17" s="288">
        <f t="shared" si="2"/>
        <v>24.150883304860912</v>
      </c>
    </row>
    <row r="18" spans="1:12">
      <c r="A18" s="515">
        <v>1995</v>
      </c>
      <c r="B18" s="515">
        <v>0</v>
      </c>
      <c r="C18" s="515">
        <v>0</v>
      </c>
      <c r="D18" s="515">
        <v>13</v>
      </c>
      <c r="E18" s="705">
        <f>'LISTADO SIGAP'!I13+'LISTADO SIGAP'!I14+'LISTADO SIGAP'!I15+'LISTADO SIGAP'!I16+'LISTADO SIGAP'!I17+'LISTADO SIGAP'!I18+'LISTADO SIGAP'!I19+'LISTADO SIGAP'!I20+'LISTADO SIGAP'!I21+'LISTADO SIGAP'!I73+'LISTADO SIGAP'!I74+'LISTADO SIGAP'!I75+'LISTADO SIGAP'!I76</f>
        <v>247659.54</v>
      </c>
      <c r="F18" s="705">
        <f>'LISTADO SIGAP'!J13+'LISTADO SIGAP'!J14+'LISTADO SIGAP'!J15+'LISTADO SIGAP'!J16+'LISTADO SIGAP'!J17+'LISTADO SIGAP'!J18+'LISTADO SIGAP'!J19+'LISTADO SIGAP'!J20+'LISTADO SIGAP'!J21+'LISTADO SIGAP'!J73+'LISTADO SIGAP'!J74+'LISTADO SIGAP'!J75+'LISTADO SIGAP'!J76</f>
        <v>412975</v>
      </c>
      <c r="G18" s="706">
        <f t="shared" si="5"/>
        <v>73</v>
      </c>
      <c r="H18" s="705">
        <f t="shared" si="6"/>
        <v>3669983.7521830001</v>
      </c>
      <c r="I18" s="705">
        <f t="shared" si="7"/>
        <v>3042740.5321829999</v>
      </c>
      <c r="J18" s="706">
        <f t="shared" si="3"/>
        <v>73</v>
      </c>
      <c r="K18" s="705">
        <f t="shared" si="4"/>
        <v>3042740.5321829999</v>
      </c>
      <c r="L18" s="288">
        <f t="shared" si="2"/>
        <v>27.943506985857155</v>
      </c>
    </row>
    <row r="19" spans="1:12">
      <c r="A19" s="515">
        <v>1996</v>
      </c>
      <c r="B19" s="515">
        <v>0</v>
      </c>
      <c r="C19" s="515">
        <v>0</v>
      </c>
      <c r="D19" s="515">
        <v>8</v>
      </c>
      <c r="E19" s="705">
        <f>'LISTADO SIGAP'!I77+'LISTADO SIGAP'!I78+'LISTADO SIGAP'!I79+'LISTADO SIGAP'!I80+'LISTADO SIGAP'!I81+'LISTADO SIGAP'!I82+'LISTADO SIGAP'!I83+'LISTADO SIGAP'!I84</f>
        <v>87627.26</v>
      </c>
      <c r="F19" s="705">
        <f>'LISTADO SIGAP'!J77+'LISTADO SIGAP'!J78+'LISTADO SIGAP'!J79+'LISTADO SIGAP'!J80+'LISTADO SIGAP'!J81+'LISTADO SIGAP'!J82+'LISTADO SIGAP'!J83+'LISTADO SIGAP'!J84</f>
        <v>87377.26</v>
      </c>
      <c r="G19" s="706">
        <f t="shared" si="5"/>
        <v>81</v>
      </c>
      <c r="H19" s="705">
        <f t="shared" si="6"/>
        <v>3757611.0121829999</v>
      </c>
      <c r="I19" s="705">
        <f t="shared" si="7"/>
        <v>3130117.7921829997</v>
      </c>
      <c r="J19" s="706">
        <f t="shared" si="3"/>
        <v>81</v>
      </c>
      <c r="K19" s="705">
        <f t="shared" si="4"/>
        <v>3130117.7921829997</v>
      </c>
      <c r="L19" s="288">
        <f t="shared" si="2"/>
        <v>28.745950391527149</v>
      </c>
    </row>
    <row r="20" spans="1:12">
      <c r="A20" s="515">
        <v>1997</v>
      </c>
      <c r="B20" s="515">
        <v>0</v>
      </c>
      <c r="C20" s="515">
        <v>0</v>
      </c>
      <c r="D20" s="515">
        <v>6</v>
      </c>
      <c r="E20" s="705">
        <f>'LISTADO SIGAP'!I85+'LISTADO SIGAP'!I86+'LISTADO SIGAP'!I87+'LISTADO SIGAP'!I88+'LISTADO SIGAP'!I89+'LISTADO SIGAP'!I90</f>
        <v>62033</v>
      </c>
      <c r="F20" s="705">
        <f>'LISTADO SIGAP'!J85+'LISTADO SIGAP'!J86+'LISTADO SIGAP'!J87+'LISTADO SIGAP'!J88+'LISTADO SIGAP'!J89+'LISTADO SIGAP'!J90</f>
        <v>62033</v>
      </c>
      <c r="G20" s="706">
        <f t="shared" si="5"/>
        <v>87</v>
      </c>
      <c r="H20" s="705">
        <f t="shared" si="6"/>
        <v>3819644.0121829999</v>
      </c>
      <c r="I20" s="705">
        <f t="shared" si="7"/>
        <v>3192150.7921829997</v>
      </c>
      <c r="J20" s="706">
        <f t="shared" si="3"/>
        <v>87</v>
      </c>
      <c r="K20" s="705">
        <f t="shared" si="4"/>
        <v>3192150.7921829997</v>
      </c>
      <c r="L20" s="288">
        <f t="shared" si="2"/>
        <v>29.315640626537114</v>
      </c>
    </row>
    <row r="21" spans="1:12">
      <c r="A21" s="515">
        <v>1998</v>
      </c>
      <c r="B21" s="515">
        <v>0</v>
      </c>
      <c r="C21" s="515">
        <v>0</v>
      </c>
      <c r="D21" s="515">
        <v>3</v>
      </c>
      <c r="E21" s="705">
        <f>'LISTADO SIGAP'!I91+'LISTADO SIGAP'!I92+'LISTADO SIGAP'!I93</f>
        <v>8870.43</v>
      </c>
      <c r="F21" s="705">
        <f>'LISTADO SIGAP'!J91+'LISTADO SIGAP'!J92+'LISTADO SIGAP'!J93</f>
        <v>8870.43</v>
      </c>
      <c r="G21" s="706">
        <f t="shared" si="5"/>
        <v>90</v>
      </c>
      <c r="H21" s="705">
        <f t="shared" si="6"/>
        <v>3828514.442183</v>
      </c>
      <c r="I21" s="705">
        <f t="shared" si="7"/>
        <v>3201021.2221829998</v>
      </c>
      <c r="J21" s="706">
        <f t="shared" si="3"/>
        <v>90</v>
      </c>
      <c r="K21" s="705">
        <f t="shared" si="4"/>
        <v>3201021.2221829998</v>
      </c>
      <c r="L21" s="288">
        <f t="shared" si="2"/>
        <v>29.397103676064614</v>
      </c>
    </row>
    <row r="22" spans="1:12">
      <c r="A22" s="515">
        <v>1999</v>
      </c>
      <c r="B22" s="515">
        <v>0</v>
      </c>
      <c r="C22" s="515">
        <v>0</v>
      </c>
      <c r="D22" s="515">
        <v>3</v>
      </c>
      <c r="E22" s="705">
        <f>'LISTADO SIGAP'!I94+'LISTADO SIGAP'!I95+'LISTADO SIGAP'!I96</f>
        <v>4244.6000000000004</v>
      </c>
      <c r="F22" s="705">
        <f>'LISTADO SIGAP'!J94+'LISTADO SIGAP'!J95+'LISTADO SIGAP'!J96</f>
        <v>4039</v>
      </c>
      <c r="G22" s="706">
        <f t="shared" si="5"/>
        <v>93</v>
      </c>
      <c r="H22" s="705">
        <f t="shared" si="6"/>
        <v>3832759.0421830001</v>
      </c>
      <c r="I22" s="705">
        <f t="shared" si="7"/>
        <v>3205060.2221829998</v>
      </c>
      <c r="J22" s="706">
        <f t="shared" si="3"/>
        <v>93</v>
      </c>
      <c r="K22" s="705">
        <f t="shared" si="4"/>
        <v>3205060.2221829998</v>
      </c>
      <c r="L22" s="288">
        <f t="shared" si="2"/>
        <v>29.434196495357657</v>
      </c>
    </row>
    <row r="23" spans="1:12">
      <c r="A23" s="515">
        <v>2000</v>
      </c>
      <c r="B23" s="515">
        <v>0</v>
      </c>
      <c r="C23" s="515">
        <v>0</v>
      </c>
      <c r="D23" s="515">
        <v>3</v>
      </c>
      <c r="E23" s="705">
        <f>'LISTADO SIGAP'!I97+'LISTADO SIGAP'!I98+'LISTADO SIGAP'!I99</f>
        <v>2866.25</v>
      </c>
      <c r="F23" s="705">
        <f>'LISTADO SIGAP'!J97+'LISTADO SIGAP'!J98+'LISTADO SIGAP'!J99</f>
        <v>2866.25</v>
      </c>
      <c r="G23" s="706">
        <f t="shared" si="5"/>
        <v>96</v>
      </c>
      <c r="H23" s="705">
        <f t="shared" si="6"/>
        <v>3835625.2921830001</v>
      </c>
      <c r="I23" s="705">
        <f t="shared" si="7"/>
        <v>3207926.4721829998</v>
      </c>
      <c r="J23" s="706">
        <f t="shared" si="3"/>
        <v>96</v>
      </c>
      <c r="K23" s="705">
        <f t="shared" si="4"/>
        <v>3207926.4721829998</v>
      </c>
      <c r="L23" s="288">
        <f t="shared" si="2"/>
        <v>29.460519172579414</v>
      </c>
    </row>
    <row r="24" spans="1:12">
      <c r="A24" s="515">
        <v>2001</v>
      </c>
      <c r="B24" s="515">
        <v>0</v>
      </c>
      <c r="C24" s="515">
        <v>0</v>
      </c>
      <c r="D24" s="515">
        <v>22</v>
      </c>
      <c r="E24" s="705">
        <f>'LISTADO SIGAP'!I100+'LISTADO SIGAP'!I101+'LISTADO SIGAP'!I102+'LISTADO SIGAP'!I103+'LISTADO SIGAP'!I104+'LISTADO SIGAP'!I105+'LISTADO SIGAP'!I106+'LISTADO SIGAP'!I107+'LISTADO SIGAP'!I108+'LISTADO SIGAP'!I109+'LISTADO SIGAP'!I110+'LISTADO SIGAP'!I111+'LISTADO SIGAP'!I112+'LISTADO SIGAP'!I113+'LISTADO SIGAP'!I114+'LISTADO SIGAP'!I115+'LISTADO SIGAP'!I116+'LISTADO SIGAP'!I117+'LISTADO SIGAP'!I118+'LISTADO SIGAP'!I119+'LISTADO SIGAP'!I120</f>
        <v>6725.8516</v>
      </c>
      <c r="F24" s="705">
        <f>'LISTADO SIGAP'!J100+'LISTADO SIGAP'!J101+'LISTADO SIGAP'!J102+'LISTADO SIGAP'!J103+'LISTADO SIGAP'!J104+'LISTADO SIGAP'!J105+'LISTADO SIGAP'!J106+'LISTADO SIGAP'!J107+'LISTADO SIGAP'!J108+'LISTADO SIGAP'!J109+'LISTADO SIGAP'!J110+'LISTADO SIGAP'!J111+'LISTADO SIGAP'!J112+'LISTADO SIGAP'!J113+'LISTADO SIGAP'!J114+'LISTADO SIGAP'!J115+'LISTADO SIGAP'!J116+'LISTADO SIGAP'!J117+'LISTADO SIGAP'!J118+'LISTADO SIGAP'!J119+'LISTADO SIGAP'!J120</f>
        <v>3323.7215999999999</v>
      </c>
      <c r="G24" s="706">
        <f t="shared" si="5"/>
        <v>118</v>
      </c>
      <c r="H24" s="705">
        <f t="shared" si="6"/>
        <v>3842351.1437830003</v>
      </c>
      <c r="I24" s="705">
        <f t="shared" si="7"/>
        <v>3211250.1937829996</v>
      </c>
      <c r="J24" s="706">
        <f t="shared" si="3"/>
        <v>118</v>
      </c>
      <c r="K24" s="705">
        <f t="shared" si="4"/>
        <v>3211250.1937829996</v>
      </c>
      <c r="L24" s="288">
        <f t="shared" si="2"/>
        <v>29.491043115310081</v>
      </c>
    </row>
    <row r="25" spans="1:12">
      <c r="A25" s="515">
        <v>2002</v>
      </c>
      <c r="B25" s="515">
        <v>0</v>
      </c>
      <c r="C25" s="515">
        <v>0</v>
      </c>
      <c r="D25" s="515">
        <v>16</v>
      </c>
      <c r="E25" s="705">
        <f>'LISTADO SIGAP'!I121+'LISTADO SIGAP'!I122+'LISTADO SIGAP'!I123+'LISTADO SIGAP'!I124+'LISTADO SIGAP'!I125+'LISTADO SIGAP'!I126+'LISTADO SIGAP'!I127+'LISTADO SIGAP'!I128+'LISTADO SIGAP'!I129+'LISTADO SIGAP'!I130+'LISTADO SIGAP'!I131+'LISTADO SIGAP'!I132+'LISTADO SIGAP'!I133+'LISTADO SIGAP'!I134+'LISTADO SIGAP'!I135+'LISTADO SIGAP'!I136</f>
        <v>6409.17</v>
      </c>
      <c r="F25" s="705">
        <f>'LISTADO SIGAP'!J121+'LISTADO SIGAP'!J122+'LISTADO SIGAP'!J123+'LISTADO SIGAP'!J124+'LISTADO SIGAP'!J125+'LISTADO SIGAP'!J126+'LISTADO SIGAP'!J127+'LISTADO SIGAP'!J128+'LISTADO SIGAP'!J129+'LISTADO SIGAP'!J130+'LISTADO SIGAP'!J131+'LISTADO SIGAP'!J132+'LISTADO SIGAP'!J133+'LISTADO SIGAP'!J134+'LISTADO SIGAP'!J135+'LISTADO SIGAP'!J136</f>
        <v>5358.17</v>
      </c>
      <c r="G25" s="706">
        <f t="shared" si="5"/>
        <v>134</v>
      </c>
      <c r="H25" s="705">
        <f t="shared" si="6"/>
        <v>3848760.3137830002</v>
      </c>
      <c r="I25" s="705">
        <f t="shared" si="7"/>
        <v>3216608.3637829996</v>
      </c>
      <c r="J25" s="706">
        <f t="shared" si="3"/>
        <v>134</v>
      </c>
      <c r="K25" s="705">
        <f t="shared" si="4"/>
        <v>3216608.3637829996</v>
      </c>
      <c r="L25" s="288">
        <f t="shared" si="2"/>
        <v>29.54025074877168</v>
      </c>
    </row>
    <row r="26" spans="1:12">
      <c r="A26" s="515">
        <v>2003</v>
      </c>
      <c r="B26" s="515">
        <v>0</v>
      </c>
      <c r="C26" s="515">
        <v>0</v>
      </c>
      <c r="D26" s="515">
        <v>4</v>
      </c>
      <c r="E26" s="705">
        <f>'LISTADO SIGAP'!I11+'LISTADO SIGAP'!I137+'LISTADO SIGAP'!I138+'LISTADO SIGAP'!I139</f>
        <v>38880.740000000005</v>
      </c>
      <c r="F26" s="705">
        <f>'LISTADO SIGAP'!J11+'LISTADO SIGAP'!J137+'LISTADO SIGAP'!J138+'LISTADO SIGAP'!J139</f>
        <v>1720.7399999999998</v>
      </c>
      <c r="G26" s="706">
        <f t="shared" si="5"/>
        <v>138</v>
      </c>
      <c r="H26" s="705">
        <f t="shared" si="6"/>
        <v>3887641.0537830004</v>
      </c>
      <c r="I26" s="705">
        <f t="shared" si="7"/>
        <v>3218329.1037829998</v>
      </c>
      <c r="J26" s="706">
        <f t="shared" si="3"/>
        <v>138</v>
      </c>
      <c r="K26" s="705">
        <f t="shared" si="4"/>
        <v>3218329.1037829998</v>
      </c>
      <c r="L26" s="288">
        <f t="shared" si="2"/>
        <v>29.556053446932193</v>
      </c>
    </row>
    <row r="27" spans="1:12">
      <c r="A27" s="515">
        <v>2004</v>
      </c>
      <c r="B27" s="515">
        <v>0</v>
      </c>
      <c r="C27" s="515">
        <v>0</v>
      </c>
      <c r="D27" s="515">
        <v>5</v>
      </c>
      <c r="E27" s="705">
        <f>'LISTADO SIGAP'!I140+'LISTADO SIGAP'!I141+'LISTADO SIGAP'!I142+'LISTADO SIGAP'!I143+'LISTADO SIGAP'!I144</f>
        <v>9049.0999999999985</v>
      </c>
      <c r="F27" s="705">
        <f>'LISTADO SIGAP'!J140+'LISTADO SIGAP'!J141+'LISTADO SIGAP'!J142+'LISTADO SIGAP'!J143+'LISTADO SIGAP'!J144</f>
        <v>9049.0999999999985</v>
      </c>
      <c r="G27" s="706">
        <f t="shared" si="5"/>
        <v>143</v>
      </c>
      <c r="H27" s="705">
        <f t="shared" si="6"/>
        <v>3896690.1537830005</v>
      </c>
      <c r="I27" s="705">
        <f t="shared" si="7"/>
        <v>3227378.2037829999</v>
      </c>
      <c r="J27" s="706">
        <f t="shared" si="3"/>
        <v>143</v>
      </c>
      <c r="K27" s="705">
        <f t="shared" si="4"/>
        <v>3227378.2037829999</v>
      </c>
      <c r="L27" s="288">
        <f t="shared" si="2"/>
        <v>29.639157341724143</v>
      </c>
    </row>
    <row r="28" spans="1:12">
      <c r="A28" s="135">
        <v>2005</v>
      </c>
      <c r="B28" s="135">
        <v>1</v>
      </c>
      <c r="C28" s="707">
        <v>102589</v>
      </c>
      <c r="D28" s="135">
        <v>9</v>
      </c>
      <c r="E28" s="708">
        <f>'LISTADO SIGAP'!I145+'LISTADO SIGAP'!I146+'LISTADO SIGAP'!I147+'LISTADO SIGAP'!I148+'LISTADO SIGAP'!I149+'LISTADO SIGAP'!I150+'LISTADO SIGAP'!I151+'LISTADO SIGAP'!I152+'LISTADO SIGAP'!I153</f>
        <v>189512.82699999999</v>
      </c>
      <c r="F28" s="705">
        <f>'LISTADO SIGAP'!J145+'LISTADO SIGAP'!J146+'LISTADO SIGAP'!J147+'LISTADO SIGAP'!J148+'LISTADO SIGAP'!J149+'LISTADO SIGAP'!J150+'LISTADO SIGAP'!J151+'LISTADO SIGAP'!J152+'LISTADO SIGAP'!J153</f>
        <v>189512.82699999999</v>
      </c>
      <c r="G28" s="706">
        <f t="shared" si="5"/>
        <v>152</v>
      </c>
      <c r="H28" s="705">
        <f t="shared" si="6"/>
        <v>4086202.9807830006</v>
      </c>
      <c r="I28" s="705">
        <f t="shared" si="7"/>
        <v>3416891.0307829999</v>
      </c>
      <c r="J28" s="706">
        <f t="shared" si="3"/>
        <v>152</v>
      </c>
      <c r="K28" s="705">
        <f t="shared" si="4"/>
        <v>3416891.0307829999</v>
      </c>
      <c r="L28" s="288">
        <f t="shared" si="2"/>
        <v>31.379579487211746</v>
      </c>
    </row>
    <row r="29" spans="1:12">
      <c r="A29" s="515">
        <v>2006</v>
      </c>
      <c r="B29" s="515">
        <v>1</v>
      </c>
      <c r="C29" s="705">
        <v>102589</v>
      </c>
      <c r="D29" s="515">
        <v>38</v>
      </c>
      <c r="E29" s="705">
        <f>'LISTADO SIGAP'!I154+'LISTADO SIGAP'!I155+'LISTADO SIGAP'!I156+'LISTADO SIGAP'!I157+'LISTADO SIGAP'!I158+'LISTADO SIGAP'!I160+'LISTADO SIGAP'!I161+'LISTADO SIGAP'!I162+'LISTADO SIGAP'!I163+'LISTADO SIGAP'!I164+'LISTADO SIGAP'!I165+'LISTADO SIGAP'!I166+'LISTADO SIGAP'!I167+'LISTADO SIGAP'!I168+'LISTADO SIGAP'!I169+'LISTADO SIGAP'!I170+'LISTADO SIGAP'!I171+'LISTADO SIGAP'!I172+'LISTADO SIGAP'!I173+'LISTADO SIGAP'!I174+'LISTADO SIGAP'!I175+'LISTADO SIGAP'!I176+'LISTADO SIGAP'!I177+'LISTADO SIGAP'!I178+'LISTADO SIGAP'!I179+'LISTADO SIGAP'!I180+'LISTADO SIGAP'!I181+'LISTADO SIGAP'!I182+'LISTADO SIGAP'!I183+'LISTADO SIGAP'!I184+'LISTADO SIGAP'!I185+'LISTADO SIGAP'!I186+'LISTADO SIGAP'!I187+'LISTADO SIGAP'!I188+'LISTADO SIGAP'!I189+'LISTADO SIGAP'!I190+'LISTADO SIGAP'!I191+'LISTADO SIGAP'!I192</f>
        <v>21058.707999999999</v>
      </c>
      <c r="F29" s="705">
        <f>'LISTADO SIGAP'!J154+'LISTADO SIGAP'!J155+'LISTADO SIGAP'!J156+'LISTADO SIGAP'!J157+'LISTADO SIGAP'!J158+'LISTADO SIGAP'!J160+'LISTADO SIGAP'!J161+'LISTADO SIGAP'!J162+'LISTADO SIGAP'!J163+'LISTADO SIGAP'!J164+'LISTADO SIGAP'!J165+'LISTADO SIGAP'!J166+'LISTADO SIGAP'!J167+'LISTADO SIGAP'!J168+'LISTADO SIGAP'!J169+'LISTADO SIGAP'!J170+'LISTADO SIGAP'!J171+'LISTADO SIGAP'!J172+'LISTADO SIGAP'!J173+'LISTADO SIGAP'!J174+'LISTADO SIGAP'!J175+'LISTADO SIGAP'!J176+'LISTADO SIGAP'!J177+'LISTADO SIGAP'!J178+'LISTADO SIGAP'!J179+'LISTADO SIGAP'!J180+'LISTADO SIGAP'!J181+'LISTADO SIGAP'!J182+'LISTADO SIGAP'!J183+'LISTADO SIGAP'!J184+'LISTADO SIGAP'!J185+'LISTADO SIGAP'!J186+'LISTADO SIGAP'!J187+'LISTADO SIGAP'!J188+'LISTADO SIGAP'!J189+'LISTADO SIGAP'!J190+'LISTADO SIGAP'!J191+'LISTADO SIGAP'!J192</f>
        <v>1849.1879999999999</v>
      </c>
      <c r="G29" s="706">
        <f t="shared" si="5"/>
        <v>190</v>
      </c>
      <c r="H29" s="705">
        <f t="shared" si="6"/>
        <v>4107261.6887830007</v>
      </c>
      <c r="I29" s="705">
        <f t="shared" si="7"/>
        <v>3418740.218783</v>
      </c>
      <c r="J29" s="706">
        <f t="shared" si="3"/>
        <v>190</v>
      </c>
      <c r="K29" s="705">
        <f t="shared" si="4"/>
        <v>3418740.218783</v>
      </c>
      <c r="L29" s="288">
        <f t="shared" si="2"/>
        <v>31.396561808658358</v>
      </c>
    </row>
    <row r="30" spans="1:12">
      <c r="A30" s="515">
        <v>2007</v>
      </c>
      <c r="B30" s="515">
        <v>1</v>
      </c>
      <c r="C30" s="705">
        <v>102589</v>
      </c>
      <c r="D30" s="515">
        <v>36</v>
      </c>
      <c r="E30" s="705" t="e">
        <f>'LISTADO SIGAP'!I159+'LISTADO SIGAP'!I193+'LISTADO SIGAP'!I194+'LISTADO SIGAP'!I196+'LISTADO SIGAP'!I197+'LISTADO SIGAP'!I198+'LISTADO SIGAP'!I199+'LISTADO SIGAP'!I200+'LISTADO SIGAP'!I201+'LISTADO SIGAP'!I202+'LISTADO SIGAP'!I203+'LISTADO SIGAP'!I204+'LISTADO SIGAP'!I205+'LISTADO SIGAP'!I206+'LISTADO SIGAP'!I207+'LISTADO SIGAP'!I208+'LISTADO SIGAP'!I209+DESINSCRIPCIONES!I25+'LISTADO SIGAP'!I210+'LISTADO SIGAP'!I211+'LISTADO SIGAP'!#REF!+'LISTADO SIGAP'!I212+'LISTADO SIGAP'!I213+'LISTADO SIGAP'!I214+'LISTADO SIGAP'!I215+'LISTADO SIGAP'!I216+'LISTADO SIGAP'!I217+'LISTADO SIGAP'!I218+'LISTADO SIGAP'!I219+'LISTADO SIGAP'!I220+'LISTADO SIGAP'!I221+'LISTADO SIGAP'!I222+'LISTADO SIGAP'!I223+'LISTADO SIGAP'!I224</f>
        <v>#REF!</v>
      </c>
      <c r="F30" s="705" t="e">
        <f>'LISTADO SIGAP'!J159+'LISTADO SIGAP'!J193+'LISTADO SIGAP'!J194+'LISTADO SIGAP'!J195+'LISTADO SIGAP'!J196+'LISTADO SIGAP'!J197+'LISTADO SIGAP'!J198+'LISTADO SIGAP'!J199+'LISTADO SIGAP'!J200+'LISTADO SIGAP'!J201+'LISTADO SIGAP'!J202+'LISTADO SIGAP'!J203+'LISTADO SIGAP'!J204+'LISTADO SIGAP'!J205+'LISTADO SIGAP'!J206+'LISTADO SIGAP'!J207+'LISTADO SIGAP'!J208+'LISTADO SIGAP'!J209+DESINSCRIPCIONES!J25+'LISTADO SIGAP'!J210+'LISTADO SIGAP'!J211+'LISTADO SIGAP'!#REF!+'LISTADO SIGAP'!J212+'LISTADO SIGAP'!J213+'LISTADO SIGAP'!J214+'LISTADO SIGAP'!J215+'LISTADO SIGAP'!J216+'LISTADO SIGAP'!J217+'LISTADO SIGAP'!J218+'LISTADO SIGAP'!J219+'LISTADO SIGAP'!J220+'LISTADO SIGAP'!J221+'LISTADO SIGAP'!J222+'LISTADO SIGAP'!J223+'LISTADO SIGAP'!J224</f>
        <v>#REF!</v>
      </c>
      <c r="G30" s="706">
        <f t="shared" si="5"/>
        <v>226</v>
      </c>
      <c r="H30" s="705" t="e">
        <f t="shared" si="6"/>
        <v>#REF!</v>
      </c>
      <c r="I30" s="705" t="e">
        <f t="shared" si="7"/>
        <v>#REF!</v>
      </c>
      <c r="J30" s="706">
        <f t="shared" si="3"/>
        <v>226</v>
      </c>
      <c r="K30" s="705" t="e">
        <f t="shared" si="4"/>
        <v>#REF!</v>
      </c>
      <c r="L30" s="288" t="e">
        <f t="shared" si="2"/>
        <v>#REF!</v>
      </c>
    </row>
    <row r="31" spans="1:12">
      <c r="A31" s="135">
        <v>2008</v>
      </c>
      <c r="B31" s="135">
        <v>1</v>
      </c>
      <c r="C31" s="709">
        <v>102589</v>
      </c>
      <c r="D31" s="135">
        <v>20</v>
      </c>
      <c r="E31" s="705">
        <f>'LISTADO SIGAP'!I225+'LISTADO SIGAP'!I226+'LISTADO SIGAP'!I227+'LISTADO SIGAP'!I228+'LISTADO SIGAP'!I229+'LISTADO SIGAP'!I230+'LISTADO SIGAP'!I231+'LISTADO SIGAP'!I232+'LISTADO SIGAP'!I233+'LISTADO SIGAP'!I234+'LISTADO SIGAP'!I235+'LISTADO SIGAP'!I236+'LISTADO SIGAP'!I237+'LISTADO SIGAP'!I238+'LISTADO SIGAP'!I245+'LISTADO SIGAP'!I246+'LISTADO SIGAP'!I249+'LISTADO SIGAP'!I250+'LISTADO SIGAP'!I252+'LISTADO SIGAP'!I253</f>
        <v>4117.9800000000005</v>
      </c>
      <c r="F31" s="705">
        <f>'LISTADO SIGAP'!J225+'LISTADO SIGAP'!J226+'LISTADO SIGAP'!J227+'LISTADO SIGAP'!J228+'LISTADO SIGAP'!J229+'LISTADO SIGAP'!J230+'LISTADO SIGAP'!J231+'LISTADO SIGAP'!J232+'LISTADO SIGAP'!J233+'LISTADO SIGAP'!J234+'LISTADO SIGAP'!J235+'LISTADO SIGAP'!J236+'LISTADO SIGAP'!J237+'LISTADO SIGAP'!J238+'LISTADO SIGAP'!J245+'LISTADO SIGAP'!J246+'LISTADO SIGAP'!J249+'LISTADO SIGAP'!J250+'LISTADO SIGAP'!J252+'LISTADO SIGAP'!J253</f>
        <v>3103.71</v>
      </c>
      <c r="G31" s="706">
        <f t="shared" si="5"/>
        <v>246</v>
      </c>
      <c r="H31" s="705" t="e">
        <f t="shared" si="6"/>
        <v>#REF!</v>
      </c>
      <c r="I31" s="705" t="e">
        <f t="shared" si="7"/>
        <v>#REF!</v>
      </c>
      <c r="J31" s="706">
        <f t="shared" si="3"/>
        <v>246</v>
      </c>
      <c r="K31" s="705" t="e">
        <f t="shared" si="4"/>
        <v>#REF!</v>
      </c>
      <c r="L31" s="288" t="e">
        <f t="shared" si="2"/>
        <v>#REF!</v>
      </c>
    </row>
    <row r="32" spans="1:12">
      <c r="A32" s="135">
        <v>2009</v>
      </c>
      <c r="B32" s="135">
        <v>1</v>
      </c>
      <c r="C32" s="709">
        <v>102589</v>
      </c>
      <c r="D32" s="135">
        <v>20</v>
      </c>
      <c r="E32" s="705">
        <f>'LISTADO SIGAP'!I239+'LISTADO SIGAP'!I240+'LISTADO SIGAP'!I241+'LISTADO SIGAP'!I242+'LISTADO SIGAP'!I243+'LISTADO SIGAP'!I244+'LISTADO SIGAP'!I247+'LISTADO SIGAP'!I248+'LISTADO SIGAP'!I251+'LISTADO SIGAP'!I254+'LISTADO SIGAP'!I255+'LISTADO SIGAP'!I257+'LISTADO SIGAP'!I258+'LISTADO SIGAP'!I259+'LISTADO SIGAP'!I260+'LISTADO SIGAP'!I261+'LISTADO SIGAP'!I262+'LISTADO SIGAP'!I263+'LISTADO SIGAP'!I264+'LISTADO SIGAP'!I265</f>
        <v>7446.8588</v>
      </c>
      <c r="F32" s="705">
        <f>'LISTADO SIGAP'!J239+'LISTADO SIGAP'!J240+'LISTADO SIGAP'!J241+'LISTADO SIGAP'!J242+'LISTADO SIGAP'!J243+'LISTADO SIGAP'!J244+'LISTADO SIGAP'!J247+'LISTADO SIGAP'!J248+'LISTADO SIGAP'!J251+'LISTADO SIGAP'!J254+'LISTADO SIGAP'!J255+'LISTADO SIGAP'!J257+'LISTADO SIGAP'!J258+'LISTADO SIGAP'!J259+'LISTADO SIGAP'!J260+'LISTADO SIGAP'!J261+'LISTADO SIGAP'!J262+'LISTADO SIGAP'!J263+'LISTADO SIGAP'!J264+'LISTADO SIGAP'!J265</f>
        <v>5503.93</v>
      </c>
      <c r="G32" s="706">
        <f t="shared" si="5"/>
        <v>266</v>
      </c>
      <c r="H32" s="705" t="e">
        <f t="shared" si="6"/>
        <v>#REF!</v>
      </c>
      <c r="I32" s="705" t="e">
        <f t="shared" si="7"/>
        <v>#REF!</v>
      </c>
      <c r="J32" s="706">
        <f t="shared" si="3"/>
        <v>266</v>
      </c>
      <c r="K32" s="705" t="e">
        <f t="shared" si="4"/>
        <v>#REF!</v>
      </c>
      <c r="L32" s="288" t="e">
        <f t="shared" si="2"/>
        <v>#REF!</v>
      </c>
    </row>
    <row r="33" spans="1:12">
      <c r="A33" s="135">
        <v>2010</v>
      </c>
      <c r="B33" s="135">
        <v>1</v>
      </c>
      <c r="C33" s="709">
        <v>102589</v>
      </c>
      <c r="D33" s="135">
        <v>19</v>
      </c>
      <c r="E33" s="705">
        <f>'LISTADO SIGAP'!I256+'LISTADO SIGAP'!I266+'LISTADO SIGAP'!I267+'LISTADO SIGAP'!I268+'LISTADO SIGAP'!I269+'LISTADO SIGAP'!I270+'LISTADO SIGAP'!I271+'LISTADO SIGAP'!I272+'LISTADO SIGAP'!I273+'LISTADO SIGAP'!I274+'LISTADO SIGAP'!I275+'LISTADO SIGAP'!I276+'LISTADO SIGAP'!I277+'LISTADO SIGAP'!I278+'LISTADO SIGAP'!I279+'LISTADO SIGAP'!I280+'LISTADO SIGAP'!I282+'LISTADO SIGAP'!I291+'LISTADO SIGAP'!I301</f>
        <v>4140.752300000001</v>
      </c>
      <c r="F33" s="705">
        <f>'LISTADO SIGAP'!J256+'LISTADO SIGAP'!J266+'LISTADO SIGAP'!J267+'LISTADO SIGAP'!J268+'LISTADO SIGAP'!J269+'LISTADO SIGAP'!J270+'LISTADO SIGAP'!J271+'LISTADO SIGAP'!J272+'LISTADO SIGAP'!J273+'LISTADO SIGAP'!J274+'LISTADO SIGAP'!J275+'LISTADO SIGAP'!J276+'LISTADO SIGAP'!J277+'LISTADO SIGAP'!J278+'LISTADO SIGAP'!J279+'LISTADO SIGAP'!J280+'LISTADO SIGAP'!J282+'LISTADO SIGAP'!J291+'LISTADO SIGAP'!J301</f>
        <v>2787.1436000000003</v>
      </c>
      <c r="G33" s="706">
        <f t="shared" si="5"/>
        <v>285</v>
      </c>
      <c r="H33" s="705" t="e">
        <f t="shared" si="6"/>
        <v>#REF!</v>
      </c>
      <c r="I33" s="705" t="e">
        <f t="shared" si="7"/>
        <v>#REF!</v>
      </c>
      <c r="J33" s="706">
        <f t="shared" si="3"/>
        <v>285</v>
      </c>
      <c r="K33" s="705" t="e">
        <f t="shared" si="4"/>
        <v>#REF!</v>
      </c>
      <c r="L33" s="288" t="e">
        <f t="shared" si="2"/>
        <v>#REF!</v>
      </c>
    </row>
    <row r="34" spans="1:12">
      <c r="A34" s="135">
        <v>2011</v>
      </c>
      <c r="B34" s="135">
        <v>1</v>
      </c>
      <c r="C34" s="709">
        <v>102589</v>
      </c>
      <c r="D34" s="135">
        <v>7</v>
      </c>
      <c r="E34" s="705">
        <f>'LISTADO SIGAP'!I281+'LISTADO SIGAP'!I283+'LISTADO SIGAP'!I284+'LISTADO SIGAP'!I285+'LISTADO SIGAP'!I286+'LISTADO SIGAP'!I287+'LISTADO SIGAP'!I288</f>
        <v>1990.8799999999999</v>
      </c>
      <c r="F34" s="705">
        <f>'LISTADO SIGAP'!J281+'LISTADO SIGAP'!J283+'LISTADO SIGAP'!J284+'LISTADO SIGAP'!J285+'LISTADO SIGAP'!J286+'LISTADO SIGAP'!J287+'LISTADO SIGAP'!J288</f>
        <v>1063.81</v>
      </c>
      <c r="G34" s="706">
        <f t="shared" si="5"/>
        <v>292</v>
      </c>
      <c r="H34" s="705" t="e">
        <f t="shared" si="6"/>
        <v>#REF!</v>
      </c>
      <c r="I34" s="705" t="e">
        <f t="shared" si="7"/>
        <v>#REF!</v>
      </c>
      <c r="J34" s="706">
        <f t="shared" si="3"/>
        <v>292</v>
      </c>
      <c r="K34" s="705" t="e">
        <f t="shared" si="4"/>
        <v>#REF!</v>
      </c>
      <c r="L34" s="288" t="e">
        <f t="shared" si="2"/>
        <v>#REF!</v>
      </c>
    </row>
    <row r="35" spans="1:12">
      <c r="A35" s="135">
        <v>2012</v>
      </c>
      <c r="B35" s="135">
        <v>1</v>
      </c>
      <c r="C35" s="709">
        <v>102589</v>
      </c>
      <c r="D35" s="135">
        <v>13</v>
      </c>
      <c r="E35" s="705">
        <f>'LISTADO SIGAP'!I289+'LISTADO SIGAP'!I290+'LISTADO SIGAP'!I292+'LISTADO SIGAP'!I293+'LISTADO SIGAP'!I294+'LISTADO SIGAP'!I295+'LISTADO SIGAP'!I296+'LISTADO SIGAP'!I297+'LISTADO SIGAP'!I298+'LISTADO SIGAP'!I299+'LISTADO SIGAP'!I300+'LISTADO SIGAP'!I302</f>
        <v>633.32100000000003</v>
      </c>
      <c r="F35" s="705">
        <f>'LISTADO SIGAP'!J289+'LISTADO SIGAP'!J290+'LISTADO SIGAP'!J292+'LISTADO SIGAP'!J293+'LISTADO SIGAP'!J294+'LISTADO SIGAP'!J295+'LISTADO SIGAP'!J296+'LISTADO SIGAP'!J297+'LISTADO SIGAP'!J298+'LISTADO SIGAP'!J299+'LISTADO SIGAP'!J300+'LISTADO SIGAP'!J302</f>
        <v>623.61099999999999</v>
      </c>
      <c r="G35" s="706">
        <f t="shared" si="5"/>
        <v>305</v>
      </c>
      <c r="H35" s="705" t="e">
        <f t="shared" si="6"/>
        <v>#REF!</v>
      </c>
      <c r="I35" s="705" t="e">
        <f t="shared" si="7"/>
        <v>#REF!</v>
      </c>
      <c r="J35" s="706">
        <f t="shared" si="3"/>
        <v>305</v>
      </c>
      <c r="K35" s="705" t="e">
        <f t="shared" si="4"/>
        <v>#REF!</v>
      </c>
      <c r="L35" s="288" t="e">
        <f t="shared" si="2"/>
        <v>#REF!</v>
      </c>
    </row>
    <row r="36" spans="1:12">
      <c r="A36" s="135">
        <v>2013</v>
      </c>
      <c r="B36" s="135">
        <v>1</v>
      </c>
      <c r="C36" s="709">
        <v>102589</v>
      </c>
      <c r="D36" s="135">
        <v>8</v>
      </c>
      <c r="E36" s="709">
        <f>'LISTADO SIGAP'!I303+'LISTADO SIGAP'!I304+'LISTADO SIGAP'!I305+'LISTADO SIGAP'!I306+'LISTADO SIGAP'!I307+'LISTADO SIGAP'!I308+'LISTADO SIGAP'!I309+'LISTADO SIGAP'!I310</f>
        <v>3541.8382579999998</v>
      </c>
      <c r="F36" s="709">
        <f>'LISTADO SIGAP'!J303+'LISTADO SIGAP'!J304+'LISTADO SIGAP'!J305+'LISTADO SIGAP'!J306+'LISTADO SIGAP'!J307+'LISTADO SIGAP'!J308+'LISTADO SIGAP'!J309+'LISTADO SIGAP'!J310</f>
        <v>397.73825799999997</v>
      </c>
      <c r="G36" s="706">
        <f t="shared" si="5"/>
        <v>313</v>
      </c>
      <c r="H36" s="705" t="e">
        <f t="shared" si="6"/>
        <v>#REF!</v>
      </c>
      <c r="I36" s="705" t="e">
        <f t="shared" si="7"/>
        <v>#REF!</v>
      </c>
      <c r="J36" s="706">
        <f t="shared" si="3"/>
        <v>313</v>
      </c>
      <c r="K36" s="705" t="e">
        <f t="shared" si="4"/>
        <v>#REF!</v>
      </c>
      <c r="L36" s="288" t="e">
        <f t="shared" si="2"/>
        <v>#REF!</v>
      </c>
    </row>
    <row r="37" spans="1:12">
      <c r="A37" s="135">
        <v>2014</v>
      </c>
      <c r="B37" s="135">
        <v>1</v>
      </c>
      <c r="C37" s="709">
        <v>102589</v>
      </c>
      <c r="D37" s="135">
        <v>13</v>
      </c>
      <c r="E37" s="709">
        <f>'LISTADO SIGAP'!I311+'LISTADO SIGAP'!I312+'LISTADO SIGAP'!I313+'LISTADO SIGAP'!I314+'LISTADO SIGAP'!I315+'LISTADO SIGAP'!I316+'LISTADO SIGAP'!I317+'LISTADO SIGAP'!I318+'LISTADO SIGAP'!I319+'LISTADO SIGAP'!I320+'LISTADO SIGAP'!I321+'LISTADO SIGAP'!I322+'LISTADO SIGAP'!I323</f>
        <v>21504.724899999997</v>
      </c>
      <c r="F37" s="709">
        <f>'LISTADO SIGAP'!J311+'LISTADO SIGAP'!J312+'LISTADO SIGAP'!J313+'LISTADO SIGAP'!J314+'LISTADO SIGAP'!J315+'LISTADO SIGAP'!J316+'LISTADO SIGAP'!J317+'LISTADO SIGAP'!J318+'LISTADO SIGAP'!J319+'LISTADO SIGAP'!J320+'LISTADO SIGAP'!J321+'LISTADO SIGAP'!J322+'LISTADO SIGAP'!J323</f>
        <v>20338.704899999997</v>
      </c>
      <c r="G37" s="706">
        <f t="shared" si="5"/>
        <v>326</v>
      </c>
      <c r="H37" s="705" t="e">
        <f t="shared" si="6"/>
        <v>#REF!</v>
      </c>
      <c r="I37" s="705" t="e">
        <f t="shared" si="7"/>
        <v>#REF!</v>
      </c>
      <c r="J37" s="706">
        <f t="shared" si="3"/>
        <v>326</v>
      </c>
      <c r="K37" s="705" t="e">
        <f t="shared" si="4"/>
        <v>#REF!</v>
      </c>
      <c r="L37" s="288" t="e">
        <f t="shared" si="2"/>
        <v>#REF!</v>
      </c>
    </row>
    <row r="38" spans="1:12">
      <c r="A38" s="135">
        <v>2015</v>
      </c>
      <c r="B38" s="135">
        <v>1</v>
      </c>
      <c r="C38" s="709">
        <v>102589</v>
      </c>
      <c r="D38" s="135">
        <v>6</v>
      </c>
      <c r="E38" s="709">
        <f>'LISTADO SIGAP'!I324+'LISTADO SIGAP'!I325+'LISTADO SIGAP'!I326+'LISTADO SIGAP'!I327+'LISTADO SIGAP'!I328+'LISTADO SIGAP'!I329</f>
        <v>148.39500000000001</v>
      </c>
      <c r="F38" s="709">
        <f>'LISTADO SIGAP'!J324+'LISTADO SIGAP'!J325+'LISTADO SIGAP'!J326+'LISTADO SIGAP'!J327+'LISTADO SIGAP'!J328+'LISTADO SIGAP'!J329</f>
        <v>139.45500000000001</v>
      </c>
      <c r="G38" s="706">
        <f t="shared" si="5"/>
        <v>332</v>
      </c>
      <c r="H38" s="705" t="e">
        <f t="shared" si="6"/>
        <v>#REF!</v>
      </c>
      <c r="I38" s="705" t="e">
        <f t="shared" si="7"/>
        <v>#REF!</v>
      </c>
      <c r="J38" s="706">
        <f t="shared" si="3"/>
        <v>332</v>
      </c>
      <c r="K38" s="705" t="e">
        <f t="shared" si="4"/>
        <v>#REF!</v>
      </c>
      <c r="L38" s="288" t="e">
        <f t="shared" si="2"/>
        <v>#REF!</v>
      </c>
    </row>
    <row r="39" spans="1:12">
      <c r="A39" s="135">
        <v>2016</v>
      </c>
      <c r="B39" s="135">
        <v>1</v>
      </c>
      <c r="C39" s="709">
        <v>102589</v>
      </c>
      <c r="D39" s="135">
        <v>4</v>
      </c>
      <c r="E39" s="709">
        <f>'LISTADO SIGAP'!I330+'LISTADO SIGAP'!I331+'LISTADO SIGAP'!I332+'LISTADO SIGAP'!I333</f>
        <v>7335.8179999999993</v>
      </c>
      <c r="F39" s="709">
        <f>'LISTADO SIGAP'!J330+'LISTADO SIGAP'!J331+'LISTADO SIGAP'!J332+'LISTADO SIGAP'!J333</f>
        <v>7335.8179999999993</v>
      </c>
      <c r="G39" s="706">
        <f t="shared" si="5"/>
        <v>336</v>
      </c>
      <c r="H39" s="705" t="e">
        <f t="shared" si="6"/>
        <v>#REF!</v>
      </c>
      <c r="I39" s="705" t="e">
        <f t="shared" si="7"/>
        <v>#REF!</v>
      </c>
      <c r="J39" s="706">
        <f t="shared" si="3"/>
        <v>336</v>
      </c>
      <c r="K39" s="705" t="e">
        <f t="shared" si="4"/>
        <v>#REF!</v>
      </c>
      <c r="L39" s="288" t="e">
        <f t="shared" si="2"/>
        <v>#REF!</v>
      </c>
    </row>
    <row r="40" spans="1:12">
      <c r="A40" s="135">
        <v>2017</v>
      </c>
      <c r="B40" s="135">
        <v>1</v>
      </c>
      <c r="C40" s="709">
        <v>102589</v>
      </c>
      <c r="D40" s="135">
        <v>2</v>
      </c>
      <c r="E40" s="709">
        <f>'LISTADO SIGAP'!I335+'LISTADO SIGAP'!I336</f>
        <v>153.75239999999999</v>
      </c>
      <c r="F40" s="709">
        <f>'LISTADO SIGAP'!J335+'LISTADO SIGAP'!I336</f>
        <v>153.75239999999999</v>
      </c>
      <c r="G40" s="706">
        <f t="shared" si="5"/>
        <v>338</v>
      </c>
      <c r="H40" s="705" t="e">
        <f t="shared" si="6"/>
        <v>#REF!</v>
      </c>
      <c r="I40" s="705" t="e">
        <f t="shared" si="7"/>
        <v>#REF!</v>
      </c>
      <c r="J40" s="706">
        <f t="shared" si="3"/>
        <v>338</v>
      </c>
      <c r="K40" s="705" t="e">
        <f t="shared" si="4"/>
        <v>#REF!</v>
      </c>
      <c r="L40" s="288" t="e">
        <f t="shared" si="2"/>
        <v>#REF!</v>
      </c>
    </row>
    <row r="41" spans="1:12">
      <c r="A41" s="135">
        <v>2018</v>
      </c>
      <c r="B41" s="135">
        <v>1</v>
      </c>
      <c r="C41" s="709">
        <v>102589</v>
      </c>
      <c r="D41" s="135">
        <v>2</v>
      </c>
      <c r="E41" s="709">
        <f>'LISTADO SIGAP'!I337</f>
        <v>675</v>
      </c>
      <c r="F41" s="709">
        <f>C82</f>
        <v>109.02850000000001</v>
      </c>
      <c r="G41" s="706">
        <f t="shared" si="5"/>
        <v>340</v>
      </c>
      <c r="H41" s="705" t="e">
        <f t="shared" si="6"/>
        <v>#REF!</v>
      </c>
      <c r="I41" s="705" t="e">
        <f t="shared" si="7"/>
        <v>#REF!</v>
      </c>
      <c r="J41" s="706">
        <f t="shared" si="3"/>
        <v>340</v>
      </c>
      <c r="K41" s="705" t="e">
        <f t="shared" si="4"/>
        <v>#REF!</v>
      </c>
      <c r="L41" s="288" t="e">
        <f t="shared" si="2"/>
        <v>#REF!</v>
      </c>
    </row>
    <row r="42" spans="1:12">
      <c r="A42" s="135">
        <v>2019</v>
      </c>
      <c r="B42" s="135">
        <v>1</v>
      </c>
      <c r="C42" s="709">
        <v>102589</v>
      </c>
      <c r="D42" s="135">
        <v>9</v>
      </c>
      <c r="E42" s="709">
        <f>20.098+'LISTADO SIGAP'!I341+'LISTADO SIGAP'!I342+'LISTADO SIGAP'!I343+'LISTADO SIGAP'!I344+'LISTADO SIGAP'!I345+'LISTADO SIGAP'!I346+'LISTADO SIGAP'!I347+'LISTADO SIGAP'!I348+'LISTADO SIGAP'!I349</f>
        <v>5699.6060500000003</v>
      </c>
      <c r="F42" s="709">
        <f>20.098+'LISTADO SIGAP'!J341+'LISTADO SIGAP'!J342+'LISTADO SIGAP'!J343+'LISTADO SIGAP'!J344+'LISTADO SIGAP'!J345+'LISTADO SIGAP'!J346+'LISTADO SIGAP'!J347+'LISTADO SIGAP'!J348+'LISTADO SIGAP'!J349</f>
        <v>3700.7189499999999</v>
      </c>
      <c r="G42" s="706">
        <f t="shared" si="5"/>
        <v>349</v>
      </c>
      <c r="H42" s="705" t="e">
        <f t="shared" si="6"/>
        <v>#REF!</v>
      </c>
      <c r="I42" s="705" t="e">
        <f t="shared" si="7"/>
        <v>#REF!</v>
      </c>
      <c r="J42" s="706">
        <f t="shared" si="3"/>
        <v>349</v>
      </c>
      <c r="K42" s="705" t="e">
        <f t="shared" si="4"/>
        <v>#REF!</v>
      </c>
      <c r="L42" s="288" t="e">
        <f t="shared" si="2"/>
        <v>#REF!</v>
      </c>
    </row>
    <row r="43" spans="1:12">
      <c r="A43" s="710" t="s">
        <v>1807</v>
      </c>
      <c r="B43" s="711">
        <v>1</v>
      </c>
      <c r="C43" s="710">
        <f>C38</f>
        <v>102589</v>
      </c>
      <c r="D43" s="711">
        <f t="shared" ref="D43:F43" si="8">SUM(D6:D42)</f>
        <v>349</v>
      </c>
      <c r="E43" s="710" t="e">
        <f t="shared" si="8"/>
        <v>#REF!</v>
      </c>
      <c r="F43" s="710" t="e">
        <f t="shared" si="8"/>
        <v>#REF!</v>
      </c>
      <c r="G43" s="710"/>
      <c r="H43" s="710"/>
      <c r="I43" s="710"/>
      <c r="J43" s="711"/>
      <c r="K43" s="710"/>
      <c r="L43" s="722"/>
    </row>
    <row r="46" spans="1:12" ht="32.25" customHeight="1">
      <c r="B46" s="712" t="s">
        <v>2043</v>
      </c>
      <c r="C46" s="713" t="s">
        <v>2041</v>
      </c>
      <c r="D46" s="714" t="s">
        <v>2044</v>
      </c>
    </row>
    <row r="47" spans="1:12">
      <c r="B47" s="715">
        <v>1955</v>
      </c>
      <c r="C47" s="695">
        <f t="shared" ref="C47:C81" si="9">F6</f>
        <v>136730.48000000001</v>
      </c>
      <c r="D47" s="716">
        <v>10</v>
      </c>
    </row>
    <row r="48" spans="1:12">
      <c r="B48" s="715">
        <v>1956</v>
      </c>
      <c r="C48" s="695">
        <f t="shared" si="9"/>
        <v>56942.758999999991</v>
      </c>
      <c r="D48" s="716">
        <v>31</v>
      </c>
    </row>
    <row r="49" spans="2:5">
      <c r="B49" s="715">
        <v>1964</v>
      </c>
      <c r="C49" s="695">
        <f t="shared" si="9"/>
        <v>1099.7281829999999</v>
      </c>
      <c r="D49" s="716">
        <v>2</v>
      </c>
    </row>
    <row r="50" spans="2:5">
      <c r="B50" s="715">
        <v>1969</v>
      </c>
      <c r="C50" s="695">
        <f t="shared" si="9"/>
        <v>2000</v>
      </c>
      <c r="D50" s="716">
        <v>1</v>
      </c>
    </row>
    <row r="51" spans="2:5">
      <c r="B51" s="715">
        <v>1970</v>
      </c>
      <c r="C51" s="695">
        <f t="shared" si="9"/>
        <v>0</v>
      </c>
      <c r="D51" s="716">
        <v>0</v>
      </c>
    </row>
    <row r="52" spans="2:5">
      <c r="B52" s="715">
        <v>1972</v>
      </c>
      <c r="C52" s="695">
        <f t="shared" si="9"/>
        <v>8</v>
      </c>
      <c r="D52" s="716">
        <v>1</v>
      </c>
    </row>
    <row r="53" spans="2:5">
      <c r="B53" s="715">
        <v>1976</v>
      </c>
      <c r="C53" s="695">
        <f t="shared" si="9"/>
        <v>0</v>
      </c>
      <c r="D53" s="716">
        <v>0</v>
      </c>
    </row>
    <row r="54" spans="2:5">
      <c r="B54" s="715">
        <v>1977</v>
      </c>
      <c r="C54" s="695">
        <f t="shared" si="9"/>
        <v>3783.2919999999999</v>
      </c>
      <c r="D54" s="716">
        <v>2</v>
      </c>
    </row>
    <row r="55" spans="2:5">
      <c r="B55" s="715">
        <v>1980</v>
      </c>
      <c r="C55" s="695">
        <f t="shared" si="9"/>
        <v>81.003</v>
      </c>
      <c r="D55" s="716">
        <v>2</v>
      </c>
    </row>
    <row r="56" spans="2:5">
      <c r="B56" s="715">
        <v>1987</v>
      </c>
      <c r="C56" s="717">
        <f t="shared" si="9"/>
        <v>22114.45</v>
      </c>
      <c r="D56" s="716">
        <v>1</v>
      </c>
      <c r="E56" s="718">
        <f>D47+D48+D49+D50+D51+D52+D53+D54+D55+D56</f>
        <v>50</v>
      </c>
    </row>
    <row r="57" spans="2:5">
      <c r="B57" s="715">
        <v>1989</v>
      </c>
      <c r="C57" s="695">
        <f t="shared" si="9"/>
        <v>0</v>
      </c>
      <c r="D57" s="719">
        <v>1</v>
      </c>
    </row>
    <row r="58" spans="2:5">
      <c r="B58" s="715">
        <v>1990</v>
      </c>
      <c r="C58" s="695">
        <f t="shared" si="9"/>
        <v>2407005.8199999998</v>
      </c>
      <c r="D58" s="719">
        <v>9</v>
      </c>
    </row>
    <row r="59" spans="2:5">
      <c r="B59" s="715">
        <v>1995</v>
      </c>
      <c r="C59" s="695">
        <f t="shared" si="9"/>
        <v>412975</v>
      </c>
      <c r="D59" s="719">
        <v>13</v>
      </c>
    </row>
    <row r="60" spans="2:5">
      <c r="B60" s="715">
        <v>1996</v>
      </c>
      <c r="C60" s="695">
        <f t="shared" si="9"/>
        <v>87377.26</v>
      </c>
      <c r="D60" s="719">
        <v>8</v>
      </c>
    </row>
    <row r="61" spans="2:5">
      <c r="B61" s="715">
        <v>1997</v>
      </c>
      <c r="C61" s="695">
        <f t="shared" si="9"/>
        <v>62033</v>
      </c>
      <c r="D61" s="719">
        <v>6</v>
      </c>
    </row>
    <row r="62" spans="2:5">
      <c r="B62" s="715">
        <v>1998</v>
      </c>
      <c r="C62" s="695">
        <f t="shared" si="9"/>
        <v>8870.43</v>
      </c>
      <c r="D62" s="719">
        <v>3</v>
      </c>
    </row>
    <row r="63" spans="2:5">
      <c r="B63" s="715">
        <v>1999</v>
      </c>
      <c r="C63" s="695">
        <f t="shared" si="9"/>
        <v>4039</v>
      </c>
      <c r="D63" s="719">
        <v>3</v>
      </c>
    </row>
    <row r="64" spans="2:5">
      <c r="B64" s="715">
        <v>2000</v>
      </c>
      <c r="C64" s="695">
        <f t="shared" si="9"/>
        <v>2866.25</v>
      </c>
      <c r="D64" s="719">
        <v>3</v>
      </c>
    </row>
    <row r="65" spans="2:4">
      <c r="B65" s="715">
        <v>2001</v>
      </c>
      <c r="C65" s="695">
        <f t="shared" si="9"/>
        <v>3323.7215999999999</v>
      </c>
      <c r="D65" s="719">
        <v>22</v>
      </c>
    </row>
    <row r="66" spans="2:4">
      <c r="B66" s="715">
        <v>2002</v>
      </c>
      <c r="C66" s="695">
        <f t="shared" si="9"/>
        <v>5358.17</v>
      </c>
      <c r="D66" s="719">
        <v>16</v>
      </c>
    </row>
    <row r="67" spans="2:4">
      <c r="B67" s="715">
        <v>2003</v>
      </c>
      <c r="C67" s="695">
        <f t="shared" si="9"/>
        <v>1720.7399999999998</v>
      </c>
      <c r="D67" s="719">
        <v>4</v>
      </c>
    </row>
    <row r="68" spans="2:4">
      <c r="B68" s="715">
        <v>2004</v>
      </c>
      <c r="C68" s="695">
        <f t="shared" si="9"/>
        <v>9049.0999999999985</v>
      </c>
      <c r="D68" s="719">
        <v>5</v>
      </c>
    </row>
    <row r="69" spans="2:4">
      <c r="B69" s="127">
        <v>2005</v>
      </c>
      <c r="C69" s="695">
        <f t="shared" si="9"/>
        <v>189512.82699999999</v>
      </c>
      <c r="D69" s="128">
        <v>9</v>
      </c>
    </row>
    <row r="70" spans="2:4">
      <c r="B70" s="715">
        <v>2006</v>
      </c>
      <c r="C70" s="695">
        <f t="shared" si="9"/>
        <v>1849.1879999999999</v>
      </c>
      <c r="D70" s="719">
        <v>38</v>
      </c>
    </row>
    <row r="71" spans="2:4">
      <c r="B71" s="715">
        <v>2007</v>
      </c>
      <c r="C71" s="695" t="e">
        <f t="shared" si="9"/>
        <v>#REF!</v>
      </c>
      <c r="D71" s="719">
        <v>36</v>
      </c>
    </row>
    <row r="72" spans="2:4">
      <c r="B72" s="127">
        <v>2008</v>
      </c>
      <c r="C72" s="695">
        <f t="shared" si="9"/>
        <v>3103.71</v>
      </c>
      <c r="D72" s="128">
        <v>20</v>
      </c>
    </row>
    <row r="73" spans="2:4">
      <c r="B73" s="127">
        <v>2009</v>
      </c>
      <c r="C73" s="695">
        <f t="shared" si="9"/>
        <v>5503.93</v>
      </c>
      <c r="D73" s="128">
        <v>20</v>
      </c>
    </row>
    <row r="74" spans="2:4">
      <c r="B74" s="127">
        <v>2010</v>
      </c>
      <c r="C74" s="695">
        <f t="shared" si="9"/>
        <v>2787.1436000000003</v>
      </c>
      <c r="D74" s="128">
        <v>19</v>
      </c>
    </row>
    <row r="75" spans="2:4">
      <c r="B75" s="127">
        <v>2011</v>
      </c>
      <c r="C75" s="695">
        <f t="shared" si="9"/>
        <v>1063.81</v>
      </c>
      <c r="D75" s="128">
        <v>7</v>
      </c>
    </row>
    <row r="76" spans="2:4">
      <c r="B76" s="127">
        <v>2012</v>
      </c>
      <c r="C76" s="695">
        <f t="shared" si="9"/>
        <v>623.61099999999999</v>
      </c>
      <c r="D76" s="128">
        <v>12</v>
      </c>
    </row>
    <row r="77" spans="2:4">
      <c r="B77" s="127">
        <v>2013</v>
      </c>
      <c r="C77" s="695">
        <f t="shared" si="9"/>
        <v>397.73825799999997</v>
      </c>
      <c r="D77" s="128">
        <v>8</v>
      </c>
    </row>
    <row r="78" spans="2:4">
      <c r="B78" s="127">
        <v>2014</v>
      </c>
      <c r="C78" s="695">
        <f t="shared" si="9"/>
        <v>20338.704899999997</v>
      </c>
      <c r="D78" s="128">
        <v>13</v>
      </c>
    </row>
    <row r="79" spans="2:4">
      <c r="B79" s="127">
        <v>2015</v>
      </c>
      <c r="C79" s="695">
        <f t="shared" si="9"/>
        <v>139.45500000000001</v>
      </c>
      <c r="D79" s="128">
        <v>6</v>
      </c>
    </row>
    <row r="80" spans="2:4">
      <c r="B80" s="127">
        <v>2016</v>
      </c>
      <c r="C80" s="695">
        <f t="shared" si="9"/>
        <v>7335.8179999999993</v>
      </c>
      <c r="D80" s="128">
        <v>4</v>
      </c>
    </row>
    <row r="81" spans="2:5">
      <c r="B81" s="127">
        <v>2017</v>
      </c>
      <c r="C81" s="695">
        <f t="shared" si="9"/>
        <v>153.75239999999999</v>
      </c>
      <c r="D81" s="128">
        <v>2</v>
      </c>
    </row>
    <row r="82" spans="2:5">
      <c r="B82" s="127">
        <v>2018</v>
      </c>
      <c r="C82" s="695">
        <f>47.3285+61.7</f>
        <v>109.02850000000001</v>
      </c>
      <c r="D82" s="128">
        <v>3</v>
      </c>
    </row>
    <row r="83" spans="2:5">
      <c r="B83" s="130">
        <v>2019</v>
      </c>
      <c r="C83" s="696">
        <f>20.098+'LISTADO SIGAP'!I341+'LISTADO SIGAP'!I344+'LISTADO SIGAP'!I345+'LISTADO SIGAP'!J346+'LISTADO SIGAP'!J347+'LISTADO SIGAP'!J348</f>
        <v>709.19875000000002</v>
      </c>
      <c r="D83" s="131">
        <v>8</v>
      </c>
    </row>
    <row r="84" spans="2:5">
      <c r="B84" s="120"/>
      <c r="C84" s="362"/>
      <c r="D84" s="120"/>
    </row>
    <row r="85" spans="2:5">
      <c r="C85" s="362" t="e">
        <f>SUM(C47:C83)</f>
        <v>#REF!</v>
      </c>
      <c r="D85" s="120">
        <f>SUM(D47:D83)</f>
        <v>348</v>
      </c>
    </row>
    <row r="86" spans="2:5">
      <c r="E86" s="362"/>
    </row>
  </sheetData>
  <mergeCells count="9">
    <mergeCell ref="A2:L2"/>
    <mergeCell ref="D3:F3"/>
    <mergeCell ref="G3:I3"/>
    <mergeCell ref="J3:L3"/>
    <mergeCell ref="D4:F4"/>
    <mergeCell ref="G4:I4"/>
    <mergeCell ref="J4:L4"/>
    <mergeCell ref="A3:A5"/>
    <mergeCell ref="B3:C4"/>
  </mergeCells>
  <pageMargins left="0.69930555555555596" right="0.69930555555555596" top="0.75" bottom="0.75" header="0.3" footer="0.3"/>
  <pageSetup orientation="portrait"/>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7:F117"/>
  <sheetViews>
    <sheetView topLeftCell="A102" zoomScale="80" zoomScaleNormal="80" workbookViewId="0">
      <selection activeCell="D118" sqref="D118"/>
    </sheetView>
  </sheetViews>
  <sheetFormatPr baseColWidth="10" defaultColWidth="9" defaultRowHeight="15"/>
  <cols>
    <col min="3" max="3" width="12.42578125" customWidth="1"/>
  </cols>
  <sheetData>
    <row r="7" spans="2:3">
      <c r="B7" s="673" t="s">
        <v>2045</v>
      </c>
      <c r="C7" s="674" t="s">
        <v>2019</v>
      </c>
    </row>
    <row r="8" spans="2:3">
      <c r="B8" s="385">
        <v>1955</v>
      </c>
      <c r="C8" s="675">
        <v>192035</v>
      </c>
    </row>
    <row r="9" spans="2:3">
      <c r="B9" s="385">
        <v>1956</v>
      </c>
      <c r="C9" s="675">
        <v>39803.1</v>
      </c>
    </row>
    <row r="10" spans="2:3">
      <c r="B10" s="385">
        <v>1963</v>
      </c>
      <c r="C10" s="675">
        <v>100</v>
      </c>
    </row>
    <row r="11" spans="2:3">
      <c r="B11" s="385">
        <v>1969</v>
      </c>
      <c r="C11" s="675">
        <v>2000</v>
      </c>
    </row>
    <row r="12" spans="2:3">
      <c r="B12" s="385">
        <v>1972</v>
      </c>
      <c r="C12" s="675">
        <v>8</v>
      </c>
    </row>
    <row r="13" spans="2:3">
      <c r="B13" s="385">
        <v>1977</v>
      </c>
      <c r="C13" s="675">
        <v>3783.29</v>
      </c>
    </row>
    <row r="14" spans="2:3">
      <c r="B14" s="385">
        <v>1980</v>
      </c>
      <c r="C14" s="675">
        <v>1187</v>
      </c>
    </row>
    <row r="15" spans="2:3">
      <c r="B15" s="385">
        <v>1987</v>
      </c>
      <c r="C15" s="675">
        <v>22114.45</v>
      </c>
    </row>
    <row r="16" spans="2:3">
      <c r="B16" s="385">
        <v>1989</v>
      </c>
      <c r="C16" s="675">
        <v>734.77</v>
      </c>
    </row>
    <row r="17" spans="2:3">
      <c r="B17" s="385">
        <v>1990</v>
      </c>
      <c r="C17" s="675">
        <v>3127781</v>
      </c>
    </row>
    <row r="18" spans="2:3">
      <c r="B18" s="385">
        <v>1995</v>
      </c>
      <c r="C18" s="675">
        <v>247659.54</v>
      </c>
    </row>
    <row r="19" spans="2:3">
      <c r="B19" s="385">
        <v>1996</v>
      </c>
      <c r="C19" s="675">
        <v>87627.26</v>
      </c>
    </row>
    <row r="20" spans="2:3">
      <c r="B20" s="385">
        <v>1997</v>
      </c>
      <c r="C20" s="675">
        <v>62033</v>
      </c>
    </row>
    <row r="21" spans="2:3">
      <c r="B21" s="385">
        <v>1998</v>
      </c>
      <c r="C21" s="675">
        <v>8916</v>
      </c>
    </row>
    <row r="22" spans="2:3">
      <c r="B22" s="385">
        <v>1999</v>
      </c>
      <c r="C22" s="675">
        <v>4244.6000000000004</v>
      </c>
    </row>
    <row r="23" spans="2:3">
      <c r="B23" s="385">
        <v>2000</v>
      </c>
      <c r="C23" s="675">
        <v>2866.25</v>
      </c>
    </row>
    <row r="24" spans="2:3">
      <c r="B24" s="385">
        <v>2001</v>
      </c>
      <c r="C24" s="675">
        <v>7878.38</v>
      </c>
    </row>
    <row r="25" spans="2:3">
      <c r="B25" s="385">
        <v>2002</v>
      </c>
      <c r="C25" s="675">
        <v>6409.17</v>
      </c>
    </row>
    <row r="26" spans="2:3">
      <c r="B26" s="385">
        <v>2003</v>
      </c>
      <c r="C26" s="675">
        <v>38844.870000000003</v>
      </c>
    </row>
    <row r="27" spans="2:3">
      <c r="B27" s="385">
        <v>2004</v>
      </c>
      <c r="C27" s="675">
        <v>9049.1</v>
      </c>
    </row>
    <row r="28" spans="2:3">
      <c r="B28" s="385">
        <v>2005</v>
      </c>
      <c r="C28" s="675">
        <v>189389.28</v>
      </c>
    </row>
    <row r="29" spans="2:3">
      <c r="B29" s="385">
        <v>2006</v>
      </c>
      <c r="C29" s="675">
        <v>21058.71</v>
      </c>
    </row>
    <row r="30" spans="2:3">
      <c r="B30" s="385">
        <v>2007</v>
      </c>
      <c r="C30" s="675">
        <v>10516.47</v>
      </c>
    </row>
    <row r="31" spans="2:3">
      <c r="B31" s="385">
        <v>2008</v>
      </c>
      <c r="C31" s="675">
        <v>4273.3500000000004</v>
      </c>
    </row>
    <row r="32" spans="2:3">
      <c r="B32" s="385">
        <v>2009</v>
      </c>
      <c r="C32" s="675">
        <v>7446.86</v>
      </c>
    </row>
    <row r="33" spans="2:4">
      <c r="B33" s="385">
        <v>2010</v>
      </c>
      <c r="C33" s="675">
        <v>2972.93</v>
      </c>
    </row>
    <row r="34" spans="2:4">
      <c r="B34" s="385">
        <v>2011</v>
      </c>
      <c r="C34" s="675">
        <v>1990.88</v>
      </c>
    </row>
    <row r="35" spans="2:4">
      <c r="B35" s="385">
        <v>2012</v>
      </c>
      <c r="C35" s="675">
        <v>648.22</v>
      </c>
    </row>
    <row r="36" spans="2:4">
      <c r="B36" s="385">
        <v>2013</v>
      </c>
      <c r="C36" s="675">
        <v>3541.84</v>
      </c>
    </row>
    <row r="37" spans="2:4">
      <c r="B37" s="385">
        <v>2014</v>
      </c>
      <c r="C37" s="675">
        <v>21504.720000000001</v>
      </c>
    </row>
    <row r="38" spans="2:4">
      <c r="B38" s="385">
        <v>2015</v>
      </c>
      <c r="C38" s="675">
        <v>148.4</v>
      </c>
    </row>
    <row r="39" spans="2:4">
      <c r="B39" s="385">
        <v>2016</v>
      </c>
      <c r="C39" s="675">
        <v>7335.82</v>
      </c>
    </row>
    <row r="40" spans="2:4">
      <c r="B40" s="676">
        <v>2017</v>
      </c>
      <c r="C40" s="677">
        <f>'Registro Histórico 1955-2017'!F40</f>
        <v>153.75239999999999</v>
      </c>
    </row>
    <row r="41" spans="2:4">
      <c r="B41" s="387">
        <v>2018</v>
      </c>
      <c r="C41" s="678">
        <f>'Registro Histórico 1955-2017'!F41</f>
        <v>109.02850000000001</v>
      </c>
      <c r="D41" s="679"/>
    </row>
    <row r="44" spans="2:4">
      <c r="B44" s="680" t="s">
        <v>2046</v>
      </c>
      <c r="C44" s="681" t="s">
        <v>2019</v>
      </c>
      <c r="D44" s="682" t="s">
        <v>2047</v>
      </c>
    </row>
    <row r="45" spans="2:4">
      <c r="B45" s="683">
        <v>1955</v>
      </c>
      <c r="C45" s="684">
        <v>192035</v>
      </c>
      <c r="D45" s="685">
        <v>10</v>
      </c>
    </row>
    <row r="46" spans="2:4">
      <c r="B46" s="385">
        <v>1956</v>
      </c>
      <c r="C46" s="386">
        <v>231838.1</v>
      </c>
      <c r="D46" s="30">
        <v>31</v>
      </c>
    </row>
    <row r="47" spans="2:4">
      <c r="B47" s="385">
        <v>1963</v>
      </c>
      <c r="C47" s="386">
        <v>231938.1</v>
      </c>
      <c r="D47" s="30">
        <v>2</v>
      </c>
    </row>
    <row r="48" spans="2:4">
      <c r="B48" s="385">
        <v>1969</v>
      </c>
      <c r="C48" s="386">
        <v>233938.1</v>
      </c>
      <c r="D48" s="30">
        <v>1</v>
      </c>
    </row>
    <row r="49" spans="2:4">
      <c r="B49" s="385">
        <v>1972</v>
      </c>
      <c r="C49" s="386">
        <v>233946.1</v>
      </c>
      <c r="D49" s="30">
        <v>1</v>
      </c>
    </row>
    <row r="50" spans="2:4">
      <c r="B50" s="385">
        <v>1977</v>
      </c>
      <c r="C50" s="386">
        <v>237729.39</v>
      </c>
      <c r="D50" s="30">
        <v>2</v>
      </c>
    </row>
    <row r="51" spans="2:4">
      <c r="B51" s="385">
        <v>1980</v>
      </c>
      <c r="C51" s="386">
        <v>238916.39</v>
      </c>
      <c r="D51" s="30">
        <v>2</v>
      </c>
    </row>
    <row r="52" spans="2:4">
      <c r="B52" s="385">
        <v>1987</v>
      </c>
      <c r="C52" s="386">
        <v>261030.84</v>
      </c>
      <c r="D52" s="30">
        <v>1</v>
      </c>
    </row>
    <row r="53" spans="2:4">
      <c r="B53" s="385">
        <v>1989</v>
      </c>
      <c r="C53" s="386">
        <v>261765.61</v>
      </c>
      <c r="D53" s="30">
        <v>1</v>
      </c>
    </row>
    <row r="54" spans="2:4">
      <c r="B54" s="385">
        <v>1990</v>
      </c>
      <c r="C54" s="386">
        <v>3389546.61</v>
      </c>
      <c r="D54" s="30">
        <v>9</v>
      </c>
    </row>
    <row r="55" spans="2:4">
      <c r="B55" s="385">
        <v>1995</v>
      </c>
      <c r="C55" s="386">
        <v>3637206.15</v>
      </c>
      <c r="D55" s="30">
        <v>13</v>
      </c>
    </row>
    <row r="56" spans="2:4">
      <c r="B56" s="385">
        <v>1996</v>
      </c>
      <c r="C56" s="386">
        <v>3724833.41</v>
      </c>
      <c r="D56" s="30">
        <v>8</v>
      </c>
    </row>
    <row r="57" spans="2:4">
      <c r="B57" s="385">
        <v>1997</v>
      </c>
      <c r="C57" s="386">
        <v>3786866.41</v>
      </c>
      <c r="D57" s="30">
        <v>6</v>
      </c>
    </row>
    <row r="58" spans="2:4">
      <c r="B58" s="385">
        <v>1998</v>
      </c>
      <c r="C58" s="386">
        <v>3795782.41</v>
      </c>
      <c r="D58" s="30">
        <v>3</v>
      </c>
    </row>
    <row r="59" spans="2:4">
      <c r="B59" s="385">
        <v>1999</v>
      </c>
      <c r="C59" s="386">
        <v>3800027.01</v>
      </c>
      <c r="D59" s="30">
        <v>3</v>
      </c>
    </row>
    <row r="60" spans="2:4">
      <c r="B60" s="385">
        <v>2000</v>
      </c>
      <c r="C60" s="386">
        <v>3802893.26</v>
      </c>
      <c r="D60" s="30">
        <v>3</v>
      </c>
    </row>
    <row r="61" spans="2:4">
      <c r="B61" s="385">
        <v>2001</v>
      </c>
      <c r="C61" s="386">
        <v>3810771.64</v>
      </c>
      <c r="D61" s="30">
        <v>22</v>
      </c>
    </row>
    <row r="62" spans="2:4">
      <c r="B62" s="385">
        <v>2002</v>
      </c>
      <c r="C62" s="386">
        <v>3817180.81</v>
      </c>
      <c r="D62" s="30">
        <v>16</v>
      </c>
    </row>
    <row r="63" spans="2:4">
      <c r="B63" s="385">
        <v>2003</v>
      </c>
      <c r="C63" s="386">
        <v>3856025.68</v>
      </c>
      <c r="D63" s="30">
        <v>4</v>
      </c>
    </row>
    <row r="64" spans="2:4">
      <c r="B64" s="385">
        <v>2004</v>
      </c>
      <c r="C64" s="386">
        <v>3865074.78</v>
      </c>
      <c r="D64" s="30">
        <v>5</v>
      </c>
    </row>
    <row r="65" spans="2:6">
      <c r="B65" s="385">
        <v>2005</v>
      </c>
      <c r="C65" s="386">
        <v>4054464.06</v>
      </c>
      <c r="D65" s="30">
        <v>9</v>
      </c>
    </row>
    <row r="66" spans="2:6">
      <c r="B66" s="385">
        <v>2006</v>
      </c>
      <c r="C66" s="386">
        <v>4075522.77</v>
      </c>
      <c r="D66" s="30">
        <v>38</v>
      </c>
    </row>
    <row r="67" spans="2:6">
      <c r="B67" s="385">
        <v>2007</v>
      </c>
      <c r="C67" s="386">
        <v>4086039.24</v>
      </c>
      <c r="D67" s="30">
        <v>36</v>
      </c>
    </row>
    <row r="68" spans="2:6">
      <c r="B68" s="385">
        <v>2008</v>
      </c>
      <c r="C68" s="386">
        <v>4090312.59</v>
      </c>
      <c r="D68" s="30">
        <v>21</v>
      </c>
    </row>
    <row r="69" spans="2:6">
      <c r="B69" s="385">
        <v>2009</v>
      </c>
      <c r="C69" s="386">
        <v>4097759.45</v>
      </c>
      <c r="D69" s="30">
        <v>20</v>
      </c>
    </row>
    <row r="70" spans="2:6">
      <c r="B70" s="385">
        <v>2010</v>
      </c>
      <c r="C70" s="386">
        <v>4100732.38</v>
      </c>
      <c r="D70" s="30">
        <v>20</v>
      </c>
    </row>
    <row r="71" spans="2:6">
      <c r="B71" s="385">
        <v>2011</v>
      </c>
      <c r="C71" s="386">
        <v>4102723.26</v>
      </c>
      <c r="D71" s="30">
        <v>7</v>
      </c>
    </row>
    <row r="72" spans="2:6">
      <c r="B72" s="385">
        <v>2012</v>
      </c>
      <c r="C72" s="386">
        <v>4103371.48</v>
      </c>
      <c r="D72" s="30">
        <v>12</v>
      </c>
    </row>
    <row r="73" spans="2:6">
      <c r="B73" s="385">
        <v>2013</v>
      </c>
      <c r="C73" s="386">
        <v>4106913.32</v>
      </c>
      <c r="D73" s="30">
        <v>8</v>
      </c>
    </row>
    <row r="74" spans="2:6">
      <c r="B74" s="385">
        <v>2014</v>
      </c>
      <c r="C74" s="386">
        <v>4128418.04</v>
      </c>
      <c r="D74" s="30">
        <v>13</v>
      </c>
    </row>
    <row r="75" spans="2:6">
      <c r="B75" s="385">
        <v>2015</v>
      </c>
      <c r="C75" s="386">
        <v>4128566.44</v>
      </c>
      <c r="D75" s="30">
        <v>6</v>
      </c>
    </row>
    <row r="76" spans="2:6">
      <c r="B76" s="385">
        <v>2016</v>
      </c>
      <c r="C76" s="686">
        <v>4169908.12</v>
      </c>
      <c r="D76" s="675">
        <v>4</v>
      </c>
      <c r="F76" s="687"/>
    </row>
    <row r="77" spans="2:6">
      <c r="B77" s="385">
        <v>2017</v>
      </c>
      <c r="C77" s="686">
        <f>'LISTADO SIGAP'!I352</f>
        <v>4177038.2937910007</v>
      </c>
      <c r="D77" s="675">
        <v>2</v>
      </c>
      <c r="F77" s="687"/>
    </row>
    <row r="78" spans="2:6">
      <c r="B78" s="387">
        <v>2018</v>
      </c>
      <c r="C78" s="688">
        <f>'LISTADO SIGAP'!I352</f>
        <v>4177038.2937910007</v>
      </c>
      <c r="D78" s="689">
        <v>2</v>
      </c>
      <c r="F78" s="687"/>
    </row>
    <row r="79" spans="2:6">
      <c r="B79" s="489"/>
      <c r="C79" s="690"/>
      <c r="D79" s="691"/>
      <c r="F79" s="687"/>
    </row>
    <row r="82" spans="2:4">
      <c r="B82" s="692" t="s">
        <v>2046</v>
      </c>
      <c r="C82" s="693" t="s">
        <v>2019</v>
      </c>
      <c r="D82" s="694" t="s">
        <v>2047</v>
      </c>
    </row>
    <row r="83" spans="2:4">
      <c r="B83" s="385">
        <v>1955</v>
      </c>
      <c r="C83" s="386">
        <v>192035</v>
      </c>
      <c r="D83" s="30">
        <v>10</v>
      </c>
    </row>
    <row r="84" spans="2:4">
      <c r="B84" s="385">
        <v>1956</v>
      </c>
      <c r="C84" s="386">
        <v>231838.1</v>
      </c>
      <c r="D84" s="30">
        <v>31</v>
      </c>
    </row>
    <row r="85" spans="2:4">
      <c r="B85" s="385">
        <v>1963</v>
      </c>
      <c r="C85" s="386">
        <v>231938.1</v>
      </c>
      <c r="D85" s="30">
        <v>2</v>
      </c>
    </row>
    <row r="86" spans="2:4">
      <c r="B86" s="385">
        <v>1969</v>
      </c>
      <c r="C86" s="386">
        <v>233938.1</v>
      </c>
      <c r="D86" s="30">
        <v>1</v>
      </c>
    </row>
    <row r="87" spans="2:4">
      <c r="B87" s="385">
        <v>1972</v>
      </c>
      <c r="C87" s="386">
        <v>233946.1</v>
      </c>
      <c r="D87" s="30">
        <v>1</v>
      </c>
    </row>
    <row r="88" spans="2:4">
      <c r="B88" s="385">
        <v>1977</v>
      </c>
      <c r="C88" s="386">
        <v>237729.39</v>
      </c>
      <c r="D88" s="30">
        <v>2</v>
      </c>
    </row>
    <row r="89" spans="2:4">
      <c r="B89" s="385">
        <v>1980</v>
      </c>
      <c r="C89" s="386">
        <v>238916.39</v>
      </c>
      <c r="D89" s="30">
        <v>2</v>
      </c>
    </row>
    <row r="90" spans="2:4">
      <c r="B90" s="385">
        <v>1987</v>
      </c>
      <c r="C90" s="386">
        <v>261030.84</v>
      </c>
      <c r="D90" s="30">
        <v>1</v>
      </c>
    </row>
    <row r="91" spans="2:4">
      <c r="B91" s="385">
        <v>1989</v>
      </c>
      <c r="C91" s="386">
        <v>261765.61</v>
      </c>
      <c r="D91" s="30">
        <v>1</v>
      </c>
    </row>
    <row r="92" spans="2:4">
      <c r="B92" s="385">
        <v>1990</v>
      </c>
      <c r="C92" s="386">
        <v>3389546.61</v>
      </c>
      <c r="D92" s="30">
        <v>9</v>
      </c>
    </row>
    <row r="93" spans="2:4">
      <c r="B93" s="385">
        <v>1995</v>
      </c>
      <c r="C93" s="386">
        <v>3637206.15</v>
      </c>
      <c r="D93" s="30">
        <v>13</v>
      </c>
    </row>
    <row r="94" spans="2:4">
      <c r="B94" s="385">
        <v>1996</v>
      </c>
      <c r="C94" s="386">
        <v>3724833.41</v>
      </c>
      <c r="D94" s="30">
        <v>8</v>
      </c>
    </row>
    <row r="95" spans="2:4">
      <c r="B95" s="385">
        <v>1997</v>
      </c>
      <c r="C95" s="386">
        <v>3786866.41</v>
      </c>
      <c r="D95" s="30">
        <v>6</v>
      </c>
    </row>
    <row r="96" spans="2:4">
      <c r="B96" s="385">
        <v>1998</v>
      </c>
      <c r="C96" s="386">
        <v>3795782.41</v>
      </c>
      <c r="D96" s="30">
        <v>3</v>
      </c>
    </row>
    <row r="97" spans="2:4">
      <c r="B97" s="385">
        <v>1999</v>
      </c>
      <c r="C97" s="386">
        <v>3800027.01</v>
      </c>
      <c r="D97" s="30">
        <v>3</v>
      </c>
    </row>
    <row r="98" spans="2:4">
      <c r="B98" s="385">
        <v>2000</v>
      </c>
      <c r="C98" s="386">
        <v>3802893.26</v>
      </c>
      <c r="D98" s="30">
        <v>3</v>
      </c>
    </row>
    <row r="99" spans="2:4">
      <c r="B99" s="385">
        <v>2001</v>
      </c>
      <c r="C99" s="386">
        <v>3810771.64</v>
      </c>
      <c r="D99" s="30">
        <v>22</v>
      </c>
    </row>
    <row r="100" spans="2:4">
      <c r="B100" s="385">
        <v>2002</v>
      </c>
      <c r="C100" s="386">
        <v>3817180.81</v>
      </c>
      <c r="D100" s="30">
        <v>16</v>
      </c>
    </row>
    <row r="101" spans="2:4">
      <c r="B101" s="385">
        <v>2003</v>
      </c>
      <c r="C101" s="386">
        <v>3856025.68</v>
      </c>
      <c r="D101" s="30">
        <v>4</v>
      </c>
    </row>
    <row r="102" spans="2:4">
      <c r="B102" s="385">
        <v>2004</v>
      </c>
      <c r="C102" s="386">
        <v>3865074.78</v>
      </c>
      <c r="D102" s="30">
        <v>5</v>
      </c>
    </row>
    <row r="103" spans="2:4">
      <c r="B103" s="385">
        <v>2005</v>
      </c>
      <c r="C103" s="386">
        <v>4054464.06</v>
      </c>
      <c r="D103" s="30">
        <v>9</v>
      </c>
    </row>
    <row r="104" spans="2:4">
      <c r="B104" s="385">
        <v>2006</v>
      </c>
      <c r="C104" s="386">
        <v>4075522.77</v>
      </c>
      <c r="D104" s="30">
        <v>38</v>
      </c>
    </row>
    <row r="105" spans="2:4">
      <c r="B105" s="385">
        <v>2007</v>
      </c>
      <c r="C105" s="386">
        <v>4086039.24</v>
      </c>
      <c r="D105" s="30">
        <v>36</v>
      </c>
    </row>
    <row r="106" spans="2:4">
      <c r="B106" s="385">
        <v>2008</v>
      </c>
      <c r="C106" s="386">
        <v>4090312.59</v>
      </c>
      <c r="D106" s="30">
        <v>21</v>
      </c>
    </row>
    <row r="107" spans="2:4">
      <c r="B107" s="385">
        <v>2009</v>
      </c>
      <c r="C107" s="386">
        <v>4097759.45</v>
      </c>
      <c r="D107" s="30">
        <v>20</v>
      </c>
    </row>
    <row r="108" spans="2:4">
      <c r="B108" s="385">
        <v>2010</v>
      </c>
      <c r="C108" s="386">
        <v>4100732.38</v>
      </c>
      <c r="D108" s="30">
        <v>20</v>
      </c>
    </row>
    <row r="109" spans="2:4">
      <c r="B109" s="385">
        <v>2011</v>
      </c>
      <c r="C109" s="386">
        <v>4102723.26</v>
      </c>
      <c r="D109" s="30">
        <v>7</v>
      </c>
    </row>
    <row r="110" spans="2:4">
      <c r="B110" s="385">
        <v>2012</v>
      </c>
      <c r="C110" s="386">
        <v>4103371.48</v>
      </c>
      <c r="D110" s="30">
        <v>12</v>
      </c>
    </row>
    <row r="111" spans="2:4">
      <c r="B111" s="385">
        <v>2013</v>
      </c>
      <c r="C111" s="386">
        <v>4106913.32</v>
      </c>
      <c r="D111" s="30">
        <v>8</v>
      </c>
    </row>
    <row r="112" spans="2:4">
      <c r="B112" s="385">
        <v>2014</v>
      </c>
      <c r="C112" s="386">
        <v>4128418.04</v>
      </c>
      <c r="D112" s="30">
        <v>13</v>
      </c>
    </row>
    <row r="113" spans="2:4">
      <c r="B113" s="385">
        <v>2015</v>
      </c>
      <c r="C113" s="386">
        <v>4128566.44</v>
      </c>
      <c r="D113" s="30">
        <v>6</v>
      </c>
    </row>
    <row r="114" spans="2:4">
      <c r="B114" s="385">
        <v>2016</v>
      </c>
      <c r="C114" s="686">
        <v>4169908.12</v>
      </c>
      <c r="D114" s="675">
        <v>4</v>
      </c>
    </row>
    <row r="115" spans="2:4">
      <c r="B115" s="385">
        <v>2017</v>
      </c>
      <c r="C115" s="695">
        <f>'LISTADO SIGAP'!I352</f>
        <v>4177038.2937910007</v>
      </c>
      <c r="D115" s="30">
        <v>2</v>
      </c>
    </row>
    <row r="116" spans="2:4">
      <c r="B116" s="387">
        <v>2018</v>
      </c>
      <c r="C116" s="696">
        <f>'LISTADO SIGAP'!I352</f>
        <v>4177038.2937910007</v>
      </c>
      <c r="D116" s="36">
        <v>2</v>
      </c>
    </row>
    <row r="117" spans="2:4">
      <c r="B117" s="697">
        <v>2019</v>
      </c>
      <c r="C117" s="362">
        <f>'LISTADO SIGAP'!I352</f>
        <v>4177038.2937910007</v>
      </c>
      <c r="D117" s="698">
        <v>5</v>
      </c>
    </row>
  </sheetData>
  <pageMargins left="0.69930555555555596" right="0.69930555555555596" top="0.75" bottom="0.75" header="0.3" footer="0.3"/>
  <pageSetup orientation="portrait"/>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3:C28"/>
  <sheetViews>
    <sheetView topLeftCell="A19" workbookViewId="0">
      <selection activeCell="C28" sqref="C28"/>
    </sheetView>
  </sheetViews>
  <sheetFormatPr baseColWidth="10" defaultColWidth="9" defaultRowHeight="15"/>
  <sheetData>
    <row r="3" spans="2:3">
      <c r="B3" s="669" t="s">
        <v>2046</v>
      </c>
      <c r="C3" s="670" t="s">
        <v>2048</v>
      </c>
    </row>
    <row r="4" spans="2:3">
      <c r="B4" s="127">
        <v>1955</v>
      </c>
      <c r="C4" s="128">
        <v>2239.54</v>
      </c>
    </row>
    <row r="5" spans="2:3">
      <c r="B5" s="127">
        <v>1996</v>
      </c>
      <c r="C5" s="128">
        <v>455</v>
      </c>
    </row>
    <row r="6" spans="2:3">
      <c r="B6" s="127">
        <v>1997</v>
      </c>
      <c r="C6" s="128">
        <v>284</v>
      </c>
    </row>
    <row r="7" spans="2:3">
      <c r="B7" s="127">
        <v>1998</v>
      </c>
      <c r="C7" s="128">
        <v>1243</v>
      </c>
    </row>
    <row r="8" spans="2:3">
      <c r="B8" s="127">
        <v>1999</v>
      </c>
      <c r="C8" s="128">
        <v>1571.6</v>
      </c>
    </row>
    <row r="9" spans="2:3">
      <c r="B9" s="127">
        <v>2000</v>
      </c>
      <c r="C9" s="128">
        <v>1160</v>
      </c>
    </row>
    <row r="10" spans="2:3">
      <c r="B10" s="127">
        <v>2001</v>
      </c>
      <c r="C10" s="128">
        <v>7839.38</v>
      </c>
    </row>
    <row r="11" spans="2:3">
      <c r="B11" s="127">
        <v>2002</v>
      </c>
      <c r="C11" s="128">
        <v>6409.17</v>
      </c>
    </row>
    <row r="12" spans="2:3">
      <c r="B12" s="127">
        <v>2003</v>
      </c>
      <c r="C12" s="128">
        <v>15</v>
      </c>
    </row>
    <row r="13" spans="2:3">
      <c r="B13" s="127">
        <v>2004</v>
      </c>
      <c r="C13" s="128">
        <v>1724.7</v>
      </c>
    </row>
    <row r="14" spans="2:3">
      <c r="B14" s="127">
        <v>2005</v>
      </c>
      <c r="C14" s="128">
        <v>308.05</v>
      </c>
    </row>
    <row r="15" spans="2:3">
      <c r="B15" s="127">
        <v>2006</v>
      </c>
      <c r="C15" s="128">
        <v>19875.71</v>
      </c>
    </row>
    <row r="16" spans="2:3">
      <c r="B16" s="127">
        <v>2007</v>
      </c>
      <c r="C16" s="128">
        <f>5619.38-2000</f>
        <v>3619.38</v>
      </c>
    </row>
    <row r="17" spans="2:3">
      <c r="B17" s="127">
        <v>2008</v>
      </c>
      <c r="C17" s="128">
        <v>2606.6799999999998</v>
      </c>
    </row>
    <row r="18" spans="2:3">
      <c r="B18" s="127">
        <v>2009</v>
      </c>
      <c r="C18" s="128">
        <v>6880.47</v>
      </c>
    </row>
    <row r="19" spans="2:3">
      <c r="B19" s="127">
        <v>2010</v>
      </c>
      <c r="C19" s="128">
        <v>896.07</v>
      </c>
    </row>
    <row r="20" spans="2:3">
      <c r="B20" s="127">
        <v>2011</v>
      </c>
      <c r="C20" s="128">
        <v>739.24</v>
      </c>
    </row>
    <row r="21" spans="2:3">
      <c r="B21" s="127">
        <v>2012</v>
      </c>
      <c r="C21" s="128">
        <v>431.78</v>
      </c>
    </row>
    <row r="22" spans="2:3">
      <c r="B22" s="127">
        <v>2013</v>
      </c>
      <c r="C22" s="128">
        <v>3474.99</v>
      </c>
    </row>
    <row r="23" spans="2:3">
      <c r="B23" s="127">
        <v>2014</v>
      </c>
      <c r="C23" s="128">
        <v>2068.21</v>
      </c>
    </row>
    <row r="24" spans="2:3">
      <c r="B24" s="127">
        <v>2015</v>
      </c>
      <c r="C24" s="128">
        <v>203.1</v>
      </c>
    </row>
    <row r="25" spans="2:3">
      <c r="B25" s="127">
        <v>2016</v>
      </c>
      <c r="C25" s="128">
        <v>11.298</v>
      </c>
    </row>
    <row r="26" spans="2:3">
      <c r="B26" s="127">
        <v>2017</v>
      </c>
      <c r="C26" s="128">
        <v>0</v>
      </c>
    </row>
    <row r="27" spans="2:3">
      <c r="B27" s="130">
        <v>2018</v>
      </c>
      <c r="C27" s="671">
        <f>'LISTADO SIGAP'!I337</f>
        <v>675</v>
      </c>
    </row>
    <row r="28" spans="2:3">
      <c r="B28" s="120">
        <v>2019</v>
      </c>
      <c r="C28" s="672">
        <f>20.098+'LISTADO SIGAP'!I341</f>
        <v>31.133949999999999</v>
      </c>
    </row>
  </sheetData>
  <pageMargins left="0.69930555555555596" right="0.69930555555555596"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30</vt:i4>
      </vt:variant>
    </vt:vector>
  </HeadingPairs>
  <TitlesOfParts>
    <vt:vector size="30" baseType="lpstr">
      <vt:lpstr>LISTADO SIGAP</vt:lpstr>
      <vt:lpstr>DESINSCRIPCIONES</vt:lpstr>
      <vt:lpstr>HECTAREAJE 2018</vt:lpstr>
      <vt:lpstr>Áreas Protegidas antes del 4-89</vt:lpstr>
      <vt:lpstr>Ha por Región y Cat Manejo</vt:lpstr>
      <vt:lpstr>Areas por Regional</vt:lpstr>
      <vt:lpstr>Registro Histórico 1955-2017</vt:lpstr>
      <vt:lpstr>Crecimiento extensión sigap </vt:lpstr>
      <vt:lpstr>Extensión Anual de RNP</vt:lpstr>
      <vt:lpstr>Ha y % Categorías de manejo</vt:lpstr>
      <vt:lpstr>Areas por Categoria</vt:lpstr>
      <vt:lpstr>Areas por Coadministrador</vt:lpstr>
      <vt:lpstr>AREAS PROTEGIDAS CON CONVENIO</vt:lpstr>
      <vt:lpstr>AREAS PROTEGIDAS SIN CONVENIO</vt:lpstr>
      <vt:lpstr>Mesas coadministración</vt:lpstr>
      <vt:lpstr>Guardarrecursos por año</vt:lpstr>
      <vt:lpstr>visitantes por área</vt:lpstr>
      <vt:lpstr>Presupuesto ejecutado por conap</vt:lpstr>
      <vt:lpstr>registro de proyectos</vt:lpstr>
      <vt:lpstr>medios de comunicación</vt:lpstr>
      <vt:lpstr>pinfor y pinpep</vt:lpstr>
      <vt:lpstr>Área de Volcanes</vt:lpstr>
      <vt:lpstr>LISTADO DE APE</vt:lpstr>
      <vt:lpstr>77 PMaestros</vt:lpstr>
      <vt:lpstr>ALD con ET</vt:lpstr>
      <vt:lpstr>APE con ET</vt:lpstr>
      <vt:lpstr>UDC con ET</vt:lpstr>
      <vt:lpstr>Evaluación Consultores</vt:lpstr>
      <vt:lpstr>APLD por Administrador</vt:lpstr>
      <vt:lpstr>CECON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Deyssi Jeannette Rodriguez Martinez</dc:creator>
  <cp:lastModifiedBy>Evelyn M. Escobar</cp:lastModifiedBy>
  <cp:lastPrinted>2019-10-14T17:33:00Z</cp:lastPrinted>
  <dcterms:created xsi:type="dcterms:W3CDTF">2015-12-10T22:22:00Z</dcterms:created>
  <dcterms:modified xsi:type="dcterms:W3CDTF">2021-04-14T17:54:24Z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3082-10.1.0.5510</vt:lpwstr>
  </property>
</Properties>
</file>